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5.xml" ContentType="application/vnd.openxmlformats-officedocument.drawing+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stibchr\OneDrive - KSB SE &amp; Co KGaA\Desktop\Applikation\70_Tools\Entwässerung\Eng\"/>
    </mc:Choice>
  </mc:AlternateContent>
  <bookViews>
    <workbookView xWindow="0" yWindow="0" windowWidth="23040" windowHeight="9900"/>
  </bookViews>
  <sheets>
    <sheet name="0" sheetId="24" r:id="rId1"/>
    <sheet name="1" sheetId="3" r:id="rId2"/>
    <sheet name="2" sheetId="8" r:id="rId3"/>
    <sheet name="3" sheetId="18" r:id="rId4"/>
    <sheet name="4" sheetId="2" state="hidden" r:id="rId5"/>
    <sheet name="5" sheetId="23" state="hidden" r:id="rId6"/>
    <sheet name="6" sheetId="10" state="hidden" r:id="rId7"/>
    <sheet name="7" sheetId="21" state="hidden" r:id="rId8"/>
    <sheet name="8" sheetId="22" state="hidden" r:id="rId9"/>
    <sheet name="9" sheetId="4" state="hidden" r:id="rId10"/>
    <sheet name="10" sheetId="6" state="hidden" r:id="rId11"/>
  </sheets>
  <externalReferences>
    <externalReference r:id="rId12"/>
  </externalReferences>
  <definedNames>
    <definedName name="DN" localSheetId="2">#REF!</definedName>
    <definedName name="DN">#REF!</definedName>
    <definedName name="_xlnm.Print_Area" localSheetId="1">'1'!$E$1:$L$83</definedName>
    <definedName name="_xlnm.Print_Area" localSheetId="2">'2'!$E$1:$L$79</definedName>
    <definedName name="_xlnm.Print_Area" localSheetId="3">'3'!$E$1:$L$164</definedName>
    <definedName name="_xlnm.Print_Titles" localSheetId="1">'1'!$1:$2</definedName>
    <definedName name="_xlnm.Print_Titles" localSheetId="2">'2'!$1:$2</definedName>
    <definedName name="_xlnm.Print_Titles" localSheetId="3">'3'!$1:$2</definedName>
    <definedName name="h">#REF!</definedName>
    <definedName name="hor">#REF!</definedName>
    <definedName name="ko">#REF!</definedName>
    <definedName name="lo">#REF!</definedName>
    <definedName name="rf">Tabelle1[]</definedName>
    <definedName name="Rohr" localSheetId="2">#REF!</definedName>
    <definedName name="Rohr">#REF!</definedName>
    <definedName name="Rohre" localSheetId="2">#REF!</definedName>
    <definedName name="Rohre">#REF!</definedName>
    <definedName name="Schachtmaße__mm">'8'!$C$9:$C$15</definedName>
    <definedName name="sdf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3" l="1"/>
  <c r="L13" i="3"/>
  <c r="H13" i="8" l="1"/>
  <c r="I13" i="8"/>
  <c r="J13" i="8"/>
  <c r="F27" i="8" l="1"/>
  <c r="F28" i="8"/>
  <c r="F34" i="8"/>
  <c r="F35" i="8"/>
  <c r="F41" i="8"/>
  <c r="F42" i="8"/>
  <c r="F61" i="8"/>
  <c r="F62" i="8"/>
  <c r="F68" i="8"/>
  <c r="F69" i="8"/>
  <c r="F75" i="8"/>
  <c r="F76" i="8"/>
  <c r="L118" i="18" l="1"/>
  <c r="J32" i="3" l="1"/>
  <c r="L32" i="3" s="1"/>
  <c r="J33" i="3"/>
  <c r="L33" i="3" s="1"/>
  <c r="J34" i="3"/>
  <c r="L34" i="3" s="1"/>
  <c r="J31" i="3"/>
  <c r="J29" i="3"/>
  <c r="J27" i="3"/>
  <c r="J18" i="3"/>
  <c r="L18" i="3" s="1"/>
  <c r="J20" i="3"/>
  <c r="L20" i="3" s="1"/>
  <c r="J24" i="3"/>
  <c r="J25" i="3"/>
  <c r="J26" i="3"/>
  <c r="L26" i="3" s="1"/>
  <c r="J23" i="3"/>
  <c r="J22" i="3"/>
  <c r="J19" i="3"/>
  <c r="J13" i="3"/>
  <c r="J14" i="3"/>
  <c r="J15" i="3"/>
  <c r="J16" i="3"/>
  <c r="J17" i="3"/>
  <c r="L17" i="3" s="1"/>
  <c r="J12" i="3"/>
  <c r="J21" i="3"/>
  <c r="J28" i="3"/>
  <c r="J30" i="3"/>
  <c r="L130" i="18" l="1"/>
  <c r="L138" i="18" l="1"/>
  <c r="O20" i="2" l="1"/>
  <c r="O21" i="2"/>
  <c r="O22" i="2"/>
  <c r="O23" i="2"/>
  <c r="O24" i="2"/>
  <c r="O25" i="2"/>
  <c r="O26" i="2"/>
  <c r="O27" i="2"/>
  <c r="O28" i="2"/>
  <c r="O29" i="2"/>
  <c r="O30" i="2"/>
  <c r="O31" i="2"/>
  <c r="O32" i="2"/>
  <c r="O33" i="2"/>
  <c r="O34" i="2"/>
  <c r="O35" i="2"/>
  <c r="O36" i="2"/>
  <c r="O37" i="2"/>
  <c r="O38" i="2"/>
  <c r="O39" i="2"/>
  <c r="O40" i="2"/>
  <c r="O41" i="2"/>
  <c r="O42" i="2"/>
  <c r="O43" i="2"/>
  <c r="O44" i="2"/>
  <c r="O45" i="2"/>
  <c r="O46" i="2"/>
  <c r="O19" i="2"/>
  <c r="K125" i="18" l="1"/>
  <c r="H11" i="18"/>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3" i="2"/>
  <c r="H94" i="2" l="1"/>
  <c r="H95" i="2"/>
  <c r="H96" i="2"/>
  <c r="H97" i="2"/>
  <c r="H98" i="2"/>
  <c r="H99" i="2"/>
  <c r="H100" i="2"/>
  <c r="H101" i="2"/>
  <c r="H102" i="2"/>
  <c r="O102" i="2" s="1"/>
  <c r="N94" i="2"/>
  <c r="N101" i="2"/>
  <c r="H93" i="2"/>
  <c r="K93" i="2" l="1"/>
  <c r="O93" i="2"/>
  <c r="I93" i="2"/>
  <c r="L101" i="2"/>
  <c r="O101" i="2"/>
  <c r="I101" i="2"/>
  <c r="L100" i="2"/>
  <c r="O100" i="2"/>
  <c r="Q100" i="2" s="1"/>
  <c r="I100" i="2"/>
  <c r="K97" i="2"/>
  <c r="O97" i="2"/>
  <c r="Q97" i="2" s="1"/>
  <c r="I97" i="2"/>
  <c r="K95" i="2"/>
  <c r="O95" i="2"/>
  <c r="I95" i="2"/>
  <c r="K101" i="2"/>
  <c r="K99" i="2"/>
  <c r="O99" i="2"/>
  <c r="I99" i="2"/>
  <c r="K98" i="2"/>
  <c r="O98" i="2"/>
  <c r="I98" i="2"/>
  <c r="O96" i="2"/>
  <c r="I96" i="2"/>
  <c r="K94" i="2"/>
  <c r="O94" i="2"/>
  <c r="Q94" i="2" s="1"/>
  <c r="I94" i="2"/>
  <c r="L102" i="2"/>
  <c r="I102" i="2"/>
  <c r="N93" i="2"/>
  <c r="Q93" i="2"/>
  <c r="N102" i="2"/>
  <c r="K102" i="2"/>
  <c r="N100" i="2"/>
  <c r="K100" i="2"/>
  <c r="N99" i="2"/>
  <c r="L98" i="2"/>
  <c r="N98" i="2"/>
  <c r="Q98" i="2"/>
  <c r="N97" i="2"/>
  <c r="N96" i="2"/>
  <c r="L96" i="2"/>
  <c r="Q96" i="2"/>
  <c r="K96" i="2"/>
  <c r="N95" i="2"/>
  <c r="L95" i="2"/>
  <c r="Q95" i="2"/>
  <c r="L94" i="2"/>
  <c r="Q101" i="2"/>
  <c r="L99" i="2"/>
  <c r="Q99" i="2"/>
  <c r="L97" i="2"/>
  <c r="Q102" i="2"/>
  <c r="L93" i="2"/>
  <c r="L120" i="18" l="1"/>
  <c r="L106" i="18" l="1"/>
  <c r="L104" i="18"/>
  <c r="I78" i="18" l="1"/>
  <c r="I77" i="18"/>
  <c r="O103" i="18" l="1"/>
  <c r="V106" i="18" s="1"/>
  <c r="O105" i="18" l="1"/>
  <c r="L141" i="18"/>
  <c r="P9" i="21" l="1"/>
  <c r="P10" i="21"/>
  <c r="P11" i="21"/>
  <c r="P12" i="21"/>
  <c r="P13" i="21"/>
  <c r="P14" i="21"/>
  <c r="P15" i="21"/>
  <c r="P16" i="21"/>
  <c r="P17" i="21"/>
  <c r="P18" i="21"/>
  <c r="P19" i="21"/>
  <c r="P20" i="21"/>
  <c r="P21" i="21"/>
  <c r="O178" i="2"/>
  <c r="O179" i="2"/>
  <c r="O180" i="2"/>
  <c r="O181" i="2"/>
  <c r="O182" i="2"/>
  <c r="O183" i="2"/>
  <c r="O184" i="2"/>
  <c r="O185" i="2"/>
  <c r="O186" i="2"/>
  <c r="O177" i="2"/>
  <c r="N150" i="2"/>
  <c r="N146" i="2"/>
  <c r="N147" i="2"/>
  <c r="N148" i="2"/>
  <c r="N149" i="2"/>
  <c r="N145" i="2"/>
  <c r="P68" i="2" l="1"/>
  <c r="P38" i="2"/>
  <c r="P87" i="2"/>
  <c r="P11" i="2"/>
  <c r="Q11" i="2" s="1"/>
  <c r="P25" i="2"/>
  <c r="P50" i="2"/>
  <c r="P53" i="2"/>
  <c r="P14" i="2"/>
  <c r="Q14" i="2" s="1"/>
  <c r="P28" i="2"/>
  <c r="P41" i="2"/>
  <c r="P71" i="2"/>
  <c r="P90" i="2"/>
  <c r="P72" i="2"/>
  <c r="P91" i="2"/>
  <c r="P42" i="2"/>
  <c r="P29" i="2"/>
  <c r="P85" i="2"/>
  <c r="P9" i="2"/>
  <c r="Q9" i="2" s="1"/>
  <c r="P23" i="2"/>
  <c r="P66" i="2"/>
  <c r="P36" i="2"/>
  <c r="P48" i="2"/>
  <c r="P64" i="2"/>
  <c r="P34" i="2"/>
  <c r="P83" i="2"/>
  <c r="P21" i="2"/>
  <c r="P7" i="2"/>
  <c r="Q7" i="2" s="1"/>
  <c r="P20" i="2"/>
  <c r="P32" i="2"/>
  <c r="P62" i="2"/>
  <c r="P81" i="2"/>
  <c r="P5" i="2"/>
  <c r="Q5" i="2" s="1"/>
  <c r="P73" i="2"/>
  <c r="P43" i="2"/>
  <c r="P92" i="2"/>
  <c r="P30" i="2"/>
  <c r="P52" i="2"/>
  <c r="P27" i="2"/>
  <c r="P13" i="2"/>
  <c r="Q13" i="2" s="1"/>
  <c r="P70" i="2"/>
  <c r="P40" i="2"/>
  <c r="P89" i="2"/>
  <c r="P69" i="2"/>
  <c r="P26" i="2"/>
  <c r="P12" i="2"/>
  <c r="Q12" i="2" s="1"/>
  <c r="P39" i="2"/>
  <c r="P88" i="2"/>
  <c r="P51" i="2"/>
  <c r="P24" i="2"/>
  <c r="P86" i="2"/>
  <c r="P49" i="2"/>
  <c r="P10" i="2"/>
  <c r="Q10" i="2" s="1"/>
  <c r="P67" i="2"/>
  <c r="P37" i="2"/>
  <c r="P8" i="2"/>
  <c r="Q8" i="2" s="1"/>
  <c r="P65" i="2"/>
  <c r="P47" i="2"/>
  <c r="P35" i="2"/>
  <c r="P22" i="2"/>
  <c r="P84" i="2"/>
  <c r="P63" i="2"/>
  <c r="P33" i="2"/>
  <c r="P82" i="2"/>
  <c r="P6" i="2"/>
  <c r="Q6" i="2" s="1"/>
  <c r="P31" i="2"/>
  <c r="P61" i="2"/>
  <c r="P80" i="2"/>
  <c r="P19" i="2"/>
  <c r="P4" i="2"/>
  <c r="Q4" i="2" s="1"/>
  <c r="L79" i="18"/>
  <c r="J79" i="18"/>
  <c r="Q19" i="2" l="1"/>
  <c r="Q20" i="2"/>
  <c r="Q21" i="2"/>
  <c r="Q22" i="2"/>
  <c r="Q23" i="2"/>
  <c r="Q24" i="2"/>
  <c r="Q25" i="2"/>
  <c r="Q26" i="2"/>
  <c r="Q27" i="2"/>
  <c r="Q28" i="2"/>
  <c r="Q29" i="2"/>
  <c r="Q30" i="2"/>
  <c r="Q31" i="2"/>
  <c r="Q32" i="2"/>
  <c r="Q33" i="2"/>
  <c r="Q34" i="2"/>
  <c r="Q35" i="2"/>
  <c r="Q36" i="2"/>
  <c r="Q37" i="2"/>
  <c r="Q38" i="2"/>
  <c r="Q39" i="2"/>
  <c r="Q40" i="2"/>
  <c r="Q41" i="2"/>
  <c r="Q42" i="2"/>
  <c r="Q43" i="2"/>
  <c r="L80" i="18" l="1"/>
  <c r="K194" i="18"/>
  <c r="K195" i="18"/>
  <c r="K196" i="18"/>
  <c r="K197" i="18"/>
  <c r="K198" i="18"/>
  <c r="K199" i="18"/>
  <c r="K200" i="18"/>
  <c r="K201" i="18"/>
  <c r="K202" i="18"/>
  <c r="K203" i="18"/>
  <c r="K204" i="18"/>
  <c r="K205" i="18"/>
  <c r="K206" i="18"/>
  <c r="K207" i="18"/>
  <c r="K208" i="18"/>
  <c r="K209" i="18"/>
  <c r="K210" i="18"/>
  <c r="I233" i="18" l="1"/>
  <c r="K211" i="18"/>
  <c r="C199" i="18"/>
  <c r="C200" i="18" s="1"/>
  <c r="D198" i="18"/>
  <c r="M196" i="18"/>
  <c r="M197" i="18" s="1"/>
  <c r="M198" i="18" s="1"/>
  <c r="M199" i="18" s="1"/>
  <c r="M200" i="18" s="1"/>
  <c r="M201" i="18" s="1"/>
  <c r="M202" i="18" s="1"/>
  <c r="M203" i="18" s="1"/>
  <c r="K48" i="18"/>
  <c r="K47" i="18"/>
  <c r="K46" i="18"/>
  <c r="K45" i="18"/>
  <c r="K44" i="18"/>
  <c r="K43" i="18"/>
  <c r="K42" i="18"/>
  <c r="K41" i="18"/>
  <c r="K40" i="18"/>
  <c r="K39" i="18"/>
  <c r="K38" i="18"/>
  <c r="K37" i="18"/>
  <c r="K36" i="18"/>
  <c r="J1" i="18"/>
  <c r="D199" i="18" l="1"/>
  <c r="K50" i="18"/>
  <c r="M204" i="18"/>
  <c r="M205" i="18" s="1"/>
  <c r="M206" i="18" s="1"/>
  <c r="M207" i="18" s="1"/>
  <c r="M208" i="18" s="1"/>
  <c r="M209" i="18" s="1"/>
  <c r="M210" i="18" s="1"/>
  <c r="M211" i="18" s="1"/>
  <c r="D200" i="18"/>
  <c r="C201" i="18"/>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K3" i="2"/>
  <c r="D201" i="18" l="1"/>
  <c r="C202" i="18"/>
  <c r="C203" i="18" l="1"/>
  <c r="D202" i="18"/>
  <c r="D203" i="18" l="1"/>
  <c r="C204" i="18"/>
  <c r="C205" i="18" l="1"/>
  <c r="D204" i="18"/>
  <c r="C206" i="18" l="1"/>
  <c r="D205" i="18"/>
  <c r="K45" i="2"/>
  <c r="D206" i="18" l="1"/>
  <c r="C207" i="18"/>
  <c r="C208" i="18" l="1"/>
  <c r="D207" i="18"/>
  <c r="C209" i="18" l="1"/>
  <c r="D208" i="18"/>
  <c r="D209" i="18" l="1"/>
  <c r="C210" i="18"/>
  <c r="D210" i="18" l="1"/>
  <c r="C211" i="18"/>
  <c r="C212" i="18" l="1"/>
  <c r="D211" i="18"/>
  <c r="C213" i="18" l="1"/>
  <c r="D212" i="18"/>
  <c r="C214" i="18" l="1"/>
  <c r="D213" i="18"/>
  <c r="D214" i="18" l="1"/>
  <c r="C215" i="18"/>
  <c r="C216" i="18" l="1"/>
  <c r="D215" i="18"/>
  <c r="C217" i="18" l="1"/>
  <c r="D216" i="18"/>
  <c r="C218" i="18" l="1"/>
  <c r="D217" i="18"/>
  <c r="D218" i="18" l="1"/>
  <c r="C219" i="18"/>
  <c r="C220" i="18" l="1"/>
  <c r="D219" i="18"/>
  <c r="C221" i="18" l="1"/>
  <c r="D220" i="18"/>
  <c r="D221" i="18" l="1"/>
  <c r="C222" i="18"/>
  <c r="C223" i="18" l="1"/>
  <c r="D222" i="18"/>
  <c r="D223" i="18" l="1"/>
  <c r="C224" i="18"/>
  <c r="C225" i="18" l="1"/>
  <c r="D224" i="18"/>
  <c r="D225" i="18" l="1"/>
  <c r="C226" i="18"/>
  <c r="D226" i="18" l="1"/>
  <c r="C227" i="18"/>
  <c r="C228" i="18" l="1"/>
  <c r="D227" i="18"/>
  <c r="D228" i="18" l="1"/>
  <c r="C229" i="18"/>
  <c r="C230" i="18" l="1"/>
  <c r="D229" i="18"/>
  <c r="C231" i="18" l="1"/>
  <c r="D230" i="18"/>
  <c r="C232" i="18" l="1"/>
  <c r="D231" i="18"/>
  <c r="D232" i="18" l="1"/>
  <c r="C233" i="18"/>
  <c r="C234" i="18" l="1"/>
  <c r="D233" i="18"/>
  <c r="C235" i="18" l="1"/>
  <c r="D234" i="18"/>
  <c r="D235" i="18" l="1"/>
  <c r="C236" i="18"/>
  <c r="C237" i="18" l="1"/>
  <c r="D236" i="18"/>
  <c r="D237" i="18" l="1"/>
  <c r="C238" i="18"/>
  <c r="C239" i="18" l="1"/>
  <c r="D238" i="18"/>
  <c r="D239" i="18" l="1"/>
  <c r="C240" i="18"/>
  <c r="C241" i="18" l="1"/>
  <c r="D240" i="18"/>
  <c r="D241" i="18" l="1"/>
  <c r="C242" i="18"/>
  <c r="C243" i="18" l="1"/>
  <c r="D242" i="18"/>
  <c r="D243" i="18" l="1"/>
  <c r="C244" i="18"/>
  <c r="C245" i="18" l="1"/>
  <c r="D244" i="18"/>
  <c r="D245" i="18" l="1"/>
  <c r="C246" i="18"/>
  <c r="C247" i="18" l="1"/>
  <c r="D246" i="18"/>
  <c r="D247" i="18" l="1"/>
  <c r="C248" i="18"/>
  <c r="D248" i="18" l="1"/>
  <c r="C249" i="18"/>
  <c r="D249" i="18" l="1"/>
  <c r="C250" i="18"/>
  <c r="C251" i="18" l="1"/>
  <c r="D250" i="18"/>
  <c r="D251" i="18" l="1"/>
  <c r="C252" i="18"/>
  <c r="C253" i="18" l="1"/>
  <c r="D252" i="18"/>
  <c r="D253" i="18" l="1"/>
  <c r="C254" i="18"/>
  <c r="C255" i="18" l="1"/>
  <c r="D254" i="18"/>
  <c r="D255" i="18" l="1"/>
  <c r="C256" i="18"/>
  <c r="C257" i="18" l="1"/>
  <c r="D256" i="18"/>
  <c r="D257" i="18" l="1"/>
  <c r="C258" i="18"/>
  <c r="C259" i="18" l="1"/>
  <c r="D258" i="18"/>
  <c r="D259" i="18" l="1"/>
  <c r="C260" i="18"/>
  <c r="C261" i="18" l="1"/>
  <c r="D260" i="18"/>
  <c r="D261" i="18" l="1"/>
  <c r="C262" i="18"/>
  <c r="C263" i="18" l="1"/>
  <c r="D262" i="18"/>
  <c r="D263" i="18" l="1"/>
  <c r="C264" i="18"/>
  <c r="D264" i="18" l="1"/>
  <c r="C265" i="18"/>
  <c r="D265" i="18" l="1"/>
  <c r="C266" i="18"/>
  <c r="C267" i="18" l="1"/>
  <c r="D266" i="18"/>
  <c r="D267" i="18" l="1"/>
  <c r="C268" i="18"/>
  <c r="C269" i="18" l="1"/>
  <c r="D268" i="18"/>
  <c r="D269" i="18" l="1"/>
  <c r="C270" i="18"/>
  <c r="C271" i="18" l="1"/>
  <c r="D270" i="18"/>
  <c r="D271" i="18" l="1"/>
  <c r="C272" i="18"/>
  <c r="D272" i="18" l="1"/>
  <c r="C273" i="18"/>
  <c r="D273" i="18" l="1"/>
  <c r="C274" i="18"/>
  <c r="C275" i="18" l="1"/>
  <c r="D274" i="18"/>
  <c r="D275" i="18" l="1"/>
  <c r="C276" i="18"/>
  <c r="C277" i="18" l="1"/>
  <c r="D276" i="18"/>
  <c r="D277" i="18" l="1"/>
  <c r="C278" i="18"/>
  <c r="C279" i="18" l="1"/>
  <c r="D278" i="18"/>
  <c r="D279" i="18" l="1"/>
  <c r="C280" i="18"/>
  <c r="D280" i="18" l="1"/>
  <c r="C281" i="18"/>
  <c r="D281" i="18" l="1"/>
  <c r="C282" i="18"/>
  <c r="C283" i="18" l="1"/>
  <c r="D282" i="18"/>
  <c r="D283" i="18" l="1"/>
  <c r="C284" i="18"/>
  <c r="D284" i="18" l="1"/>
  <c r="C285" i="18"/>
  <c r="D285" i="18" l="1"/>
  <c r="C286" i="18"/>
  <c r="C287" i="18" l="1"/>
  <c r="D286" i="18"/>
  <c r="D287" i="18" l="1"/>
  <c r="C288" i="18"/>
  <c r="C289" i="18" l="1"/>
  <c r="D288" i="18"/>
  <c r="D289" i="18" l="1"/>
  <c r="C290" i="18"/>
  <c r="C291" i="18" l="1"/>
  <c r="D290" i="18"/>
  <c r="D291" i="18" l="1"/>
  <c r="C292" i="18"/>
  <c r="D292" i="18" l="1"/>
  <c r="C293" i="18"/>
  <c r="D293" i="18" l="1"/>
  <c r="C294" i="18"/>
  <c r="C295" i="18" l="1"/>
  <c r="D294" i="18"/>
  <c r="D295" i="18" l="1"/>
  <c r="C296" i="18"/>
  <c r="C297" i="18" l="1"/>
  <c r="D296" i="18"/>
  <c r="D297" i="18" l="1"/>
  <c r="C298" i="18"/>
  <c r="C299" i="18" l="1"/>
  <c r="D298" i="18"/>
  <c r="D299" i="18" l="1"/>
  <c r="C300" i="18"/>
  <c r="D300" i="18" l="1"/>
  <c r="C301" i="18"/>
  <c r="D301" i="18" l="1"/>
  <c r="C302" i="18"/>
  <c r="C303" i="18" l="1"/>
  <c r="D302" i="18"/>
  <c r="D303" i="18" l="1"/>
  <c r="C304" i="18"/>
  <c r="C305" i="18" l="1"/>
  <c r="D304" i="18"/>
  <c r="D305" i="18" l="1"/>
  <c r="C306" i="18"/>
  <c r="C307" i="18" l="1"/>
  <c r="D306" i="18"/>
  <c r="D307" i="18" l="1"/>
  <c r="C308" i="18"/>
  <c r="C309" i="18" l="1"/>
  <c r="D308" i="18"/>
  <c r="D309" i="18" l="1"/>
  <c r="C310" i="18"/>
  <c r="C311" i="18" l="1"/>
  <c r="D310" i="18"/>
  <c r="D311" i="18" l="1"/>
  <c r="C312" i="18"/>
  <c r="C313" i="18" l="1"/>
  <c r="D312" i="18"/>
  <c r="D313" i="18" l="1"/>
  <c r="C314" i="18"/>
  <c r="C315" i="18" l="1"/>
  <c r="D314" i="18"/>
  <c r="D315" i="18" l="1"/>
  <c r="C316" i="18"/>
  <c r="C317" i="18" l="1"/>
  <c r="D316" i="18"/>
  <c r="D317" i="18" l="1"/>
  <c r="C318" i="18"/>
  <c r="C319" i="18" l="1"/>
  <c r="D318" i="18"/>
  <c r="D319" i="18" l="1"/>
  <c r="C320" i="18"/>
  <c r="C321" i="18" l="1"/>
  <c r="D320" i="18"/>
  <c r="D321" i="18" l="1"/>
  <c r="C322" i="18"/>
  <c r="C323" i="18" l="1"/>
  <c r="D322" i="18"/>
  <c r="D323" i="18" l="1"/>
  <c r="C324" i="18"/>
  <c r="C325" i="18" l="1"/>
  <c r="D324" i="18"/>
  <c r="D325" i="18" l="1"/>
  <c r="C326" i="18"/>
  <c r="C327" i="18" l="1"/>
  <c r="D326" i="18"/>
  <c r="D327" i="18" l="1"/>
  <c r="C328" i="18"/>
  <c r="C329" i="18" l="1"/>
  <c r="D328" i="18"/>
  <c r="D329" i="18" l="1"/>
  <c r="C330" i="18"/>
  <c r="C331" i="18" l="1"/>
  <c r="D330" i="18"/>
  <c r="D331" i="18" l="1"/>
  <c r="C332" i="18"/>
  <c r="C333" i="18" l="1"/>
  <c r="D332" i="18"/>
  <c r="D333" i="18" l="1"/>
  <c r="C334" i="18"/>
  <c r="C335" i="18" l="1"/>
  <c r="D334" i="18"/>
  <c r="D335" i="18" l="1"/>
  <c r="C336" i="18"/>
  <c r="C337" i="18" l="1"/>
  <c r="D336" i="18"/>
  <c r="D337" i="18" l="1"/>
  <c r="C338" i="18"/>
  <c r="C339" i="18" l="1"/>
  <c r="D338" i="18"/>
  <c r="D339" i="18" l="1"/>
  <c r="C340" i="18"/>
  <c r="C341" i="18" l="1"/>
  <c r="D340" i="18"/>
  <c r="D341" i="18" l="1"/>
  <c r="C342" i="18"/>
  <c r="C343" i="18" l="1"/>
  <c r="D342" i="18"/>
  <c r="D343" i="18" l="1"/>
  <c r="C344" i="18"/>
  <c r="C345" i="18" l="1"/>
  <c r="D344" i="18"/>
  <c r="D345" i="18" l="1"/>
  <c r="C346" i="18"/>
  <c r="C347" i="18" l="1"/>
  <c r="D346" i="18"/>
  <c r="D347" i="18" l="1"/>
  <c r="C348" i="18"/>
  <c r="C349" i="18" l="1"/>
  <c r="D348" i="18"/>
  <c r="D349" i="18" l="1"/>
  <c r="C350" i="18"/>
  <c r="C351" i="18" l="1"/>
  <c r="D350" i="18"/>
  <c r="D351" i="18" l="1"/>
  <c r="C352" i="18"/>
  <c r="C353" i="18" l="1"/>
  <c r="D352" i="18"/>
  <c r="D353" i="18" l="1"/>
  <c r="C354" i="18"/>
  <c r="C355" i="18" l="1"/>
  <c r="D354" i="18"/>
  <c r="D355" i="18" l="1"/>
  <c r="C356" i="18"/>
  <c r="C357" i="18" l="1"/>
  <c r="D356" i="18"/>
  <c r="D357" i="18" l="1"/>
  <c r="C358" i="18"/>
  <c r="C359" i="18" l="1"/>
  <c r="D358" i="18"/>
  <c r="D359" i="18" l="1"/>
  <c r="C360" i="18"/>
  <c r="C361" i="18" l="1"/>
  <c r="D360" i="18"/>
  <c r="D361" i="18" l="1"/>
  <c r="C362" i="18"/>
  <c r="C363" i="18" l="1"/>
  <c r="D362" i="18"/>
  <c r="D363" i="18" l="1"/>
  <c r="C364" i="18"/>
  <c r="C365" i="18" l="1"/>
  <c r="D364" i="18"/>
  <c r="D365" i="18" l="1"/>
  <c r="C366" i="18"/>
  <c r="C367" i="18" l="1"/>
  <c r="D366" i="18"/>
  <c r="D367" i="18" l="1"/>
  <c r="C368" i="18"/>
  <c r="C369" i="18" l="1"/>
  <c r="D368" i="18"/>
  <c r="D369" i="18" l="1"/>
  <c r="C370" i="18"/>
  <c r="C371" i="18" l="1"/>
  <c r="D370" i="18"/>
  <c r="D371" i="18" l="1"/>
  <c r="C372" i="18"/>
  <c r="C373" i="18" l="1"/>
  <c r="D372" i="18"/>
  <c r="D373" i="18" l="1"/>
  <c r="C374" i="18"/>
  <c r="C375" i="18" l="1"/>
  <c r="D374" i="18"/>
  <c r="D375" i="18" l="1"/>
  <c r="C376" i="18"/>
  <c r="C377" i="18" l="1"/>
  <c r="D376" i="18"/>
  <c r="D377" i="18" l="1"/>
  <c r="C378" i="18"/>
  <c r="C379" i="18" l="1"/>
  <c r="D378" i="18"/>
  <c r="D379" i="18" l="1"/>
  <c r="C380" i="18"/>
  <c r="C381" i="18" l="1"/>
  <c r="D380" i="18"/>
  <c r="D381" i="18" l="1"/>
  <c r="C382" i="18"/>
  <c r="C383" i="18" l="1"/>
  <c r="D382" i="18"/>
  <c r="D383" i="18" l="1"/>
  <c r="C384" i="18"/>
  <c r="D384" i="18" l="1"/>
  <c r="F36" i="8" l="1"/>
  <c r="F43" i="8"/>
  <c r="F29" i="8"/>
  <c r="F70" i="8"/>
  <c r="H70" i="8" s="1"/>
  <c r="F63" i="8"/>
  <c r="F77" i="8"/>
  <c r="J1" i="8"/>
  <c r="J36" i="8"/>
  <c r="J77" i="8"/>
  <c r="F52" i="8"/>
  <c r="F94" i="8"/>
  <c r="M78" i="3"/>
  <c r="K61" i="3"/>
  <c r="K65" i="3"/>
  <c r="K67" i="3"/>
  <c r="K69" i="3"/>
  <c r="K44" i="3"/>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28" i="4"/>
  <c r="D28" i="4"/>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D123" i="4" s="1"/>
  <c r="D124" i="4" s="1"/>
  <c r="D125" i="4" s="1"/>
  <c r="D126" i="4" s="1"/>
  <c r="F27" i="4"/>
  <c r="F26" i="4"/>
  <c r="D24" i="4"/>
  <c r="D23" i="4" s="1"/>
  <c r="D22" i="4" s="1"/>
  <c r="D21" i="4" s="1"/>
  <c r="D20" i="4" s="1"/>
  <c r="D19" i="4" s="1"/>
  <c r="D18" i="4" s="1"/>
  <c r="D17" i="4" s="1"/>
  <c r="D16" i="4" s="1"/>
  <c r="D15" i="4" s="1"/>
  <c r="D14" i="4" s="1"/>
  <c r="D13" i="4" s="1"/>
  <c r="D12" i="4" s="1"/>
  <c r="D11" i="4" s="1"/>
  <c r="D10" i="4" s="1"/>
  <c r="D9" i="4" s="1"/>
  <c r="D8" i="4" s="1"/>
  <c r="D7" i="4" s="1"/>
  <c r="D6" i="4" s="1"/>
  <c r="K78" i="3"/>
  <c r="M76" i="3"/>
  <c r="K76" i="3"/>
  <c r="M74" i="3"/>
  <c r="K74" i="3"/>
  <c r="M69" i="3"/>
  <c r="M67" i="3"/>
  <c r="M65" i="3"/>
  <c r="M61" i="3"/>
  <c r="M59" i="3"/>
  <c r="K59" i="3" s="1"/>
  <c r="M57" i="3"/>
  <c r="K57" i="3" s="1"/>
  <c r="L31" i="3"/>
  <c r="L29" i="3"/>
  <c r="L25" i="3"/>
  <c r="L24" i="3"/>
  <c r="L23" i="3"/>
  <c r="L22" i="3"/>
  <c r="L19" i="3"/>
  <c r="L16" i="3"/>
  <c r="L15" i="3"/>
  <c r="L14" i="3"/>
  <c r="L12" i="3"/>
  <c r="J1" i="3"/>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I58" i="2" s="1"/>
  <c r="H57" i="2"/>
  <c r="H56" i="2"/>
  <c r="I56" i="2" s="1"/>
  <c r="H55" i="2"/>
  <c r="I55" i="2" s="1"/>
  <c r="H54" i="2"/>
  <c r="H53" i="2"/>
  <c r="H52" i="2"/>
  <c r="H51" i="2"/>
  <c r="H50" i="2"/>
  <c r="H49" i="2"/>
  <c r="H48" i="2"/>
  <c r="H47" i="2"/>
  <c r="L46" i="2"/>
  <c r="K46" i="2"/>
  <c r="L45" i="2"/>
  <c r="L44" i="2"/>
  <c r="K44" i="2"/>
  <c r="L43" i="2"/>
  <c r="K43" i="2"/>
  <c r="L42" i="2"/>
  <c r="K42" i="2"/>
  <c r="L41" i="2"/>
  <c r="K41" i="2"/>
  <c r="L40" i="2"/>
  <c r="K40" i="2"/>
  <c r="L39" i="2"/>
  <c r="K39" i="2"/>
  <c r="L38" i="2"/>
  <c r="K38" i="2"/>
  <c r="L37" i="2"/>
  <c r="K37" i="2"/>
  <c r="L36" i="2"/>
  <c r="K36" i="2"/>
  <c r="L35" i="2"/>
  <c r="K35" i="2"/>
  <c r="L34" i="2"/>
  <c r="K34" i="2"/>
  <c r="L33" i="2"/>
  <c r="K33" i="2"/>
  <c r="L32" i="2"/>
  <c r="K32" i="2"/>
  <c r="L31" i="2"/>
  <c r="K31" i="2"/>
  <c r="L30" i="2"/>
  <c r="K30" i="2"/>
  <c r="L29" i="2"/>
  <c r="K29" i="2"/>
  <c r="L28" i="2"/>
  <c r="K28" i="2"/>
  <c r="L27" i="2"/>
  <c r="K27" i="2"/>
  <c r="L26" i="2"/>
  <c r="K26" i="2"/>
  <c r="L25" i="2"/>
  <c r="K25" i="2"/>
  <c r="L24" i="2"/>
  <c r="K24" i="2"/>
  <c r="L23" i="2"/>
  <c r="K23" i="2"/>
  <c r="L22" i="2"/>
  <c r="K22" i="2"/>
  <c r="L21" i="2"/>
  <c r="K21" i="2"/>
  <c r="L20" i="2"/>
  <c r="K20" i="2"/>
  <c r="L19" i="2"/>
  <c r="K19" i="2"/>
  <c r="L18" i="2"/>
  <c r="K18" i="2"/>
  <c r="L17" i="2"/>
  <c r="K17" i="2"/>
  <c r="L16" i="2"/>
  <c r="K16" i="2"/>
  <c r="L15" i="2"/>
  <c r="K15" i="2"/>
  <c r="L14" i="2"/>
  <c r="K14" i="2"/>
  <c r="L13" i="2"/>
  <c r="K13" i="2"/>
  <c r="L12" i="2"/>
  <c r="K12" i="2"/>
  <c r="L11" i="2"/>
  <c r="K11" i="2"/>
  <c r="L10" i="2"/>
  <c r="K10" i="2"/>
  <c r="L9" i="2"/>
  <c r="K9" i="2"/>
  <c r="L8" i="2"/>
  <c r="K8" i="2"/>
  <c r="L7" i="2"/>
  <c r="K7" i="2"/>
  <c r="L6" i="2"/>
  <c r="K6" i="2"/>
  <c r="L5" i="2"/>
  <c r="K5" i="2"/>
  <c r="L4" i="2"/>
  <c r="K4" i="2"/>
  <c r="L3" i="2"/>
  <c r="F79" i="8" l="1"/>
  <c r="F45" i="8"/>
  <c r="O61" i="2"/>
  <c r="Q61" i="2" s="1"/>
  <c r="I61" i="2"/>
  <c r="O77" i="2"/>
  <c r="I77" i="2"/>
  <c r="O84" i="2"/>
  <c r="Q84" i="2" s="1"/>
  <c r="I84" i="2"/>
  <c r="O62" i="2"/>
  <c r="Q62" i="2" s="1"/>
  <c r="I62" i="2"/>
  <c r="O78" i="2"/>
  <c r="I78" i="2"/>
  <c r="N48" i="2"/>
  <c r="O48" i="2"/>
  <c r="Q48" i="2" s="1"/>
  <c r="I48" i="2"/>
  <c r="N49" i="2"/>
  <c r="O49" i="2"/>
  <c r="Q49" i="2" s="1"/>
  <c r="I49" i="2"/>
  <c r="O65" i="2"/>
  <c r="Q65" i="2" s="1"/>
  <c r="I65" i="2"/>
  <c r="O81" i="2"/>
  <c r="Q81" i="2" s="1"/>
  <c r="I81" i="2"/>
  <c r="N50" i="2"/>
  <c r="O50" i="2"/>
  <c r="Q50" i="2" s="1"/>
  <c r="I50" i="2"/>
  <c r="O66" i="2"/>
  <c r="Q66" i="2" s="1"/>
  <c r="I66" i="2"/>
  <c r="Q82" i="2"/>
  <c r="O82" i="2"/>
  <c r="I82" i="2"/>
  <c r="O64" i="2"/>
  <c r="Q64" i="2" s="1"/>
  <c r="I64" i="2"/>
  <c r="O80" i="2"/>
  <c r="Q80" i="2" s="1"/>
  <c r="I80" i="2"/>
  <c r="N51" i="2"/>
  <c r="O51" i="2"/>
  <c r="Q51" i="2" s="1"/>
  <c r="L133" i="18" s="1"/>
  <c r="L135" i="18" s="1"/>
  <c r="L136" i="18" s="1"/>
  <c r="I51" i="2"/>
  <c r="P11" i="18" s="1"/>
  <c r="L116" i="18" s="1"/>
  <c r="E11" i="18"/>
  <c r="R103" i="18" s="1"/>
  <c r="R105" i="18" s="1"/>
  <c r="P106" i="18" s="1"/>
  <c r="R107" i="18" s="1"/>
  <c r="L102" i="18" s="1"/>
  <c r="K112" i="18" s="1"/>
  <c r="O67" i="2"/>
  <c r="Q67" i="2" s="1"/>
  <c r="I67" i="2"/>
  <c r="Q83" i="2"/>
  <c r="O83" i="2"/>
  <c r="I83" i="2"/>
  <c r="N53" i="2"/>
  <c r="O53" i="2"/>
  <c r="Q53" i="2" s="1"/>
  <c r="I53" i="2"/>
  <c r="O69" i="2"/>
  <c r="Q69" i="2" s="1"/>
  <c r="I69" i="2"/>
  <c r="O85" i="2"/>
  <c r="Q85" i="2" s="1"/>
  <c r="I85" i="2"/>
  <c r="N54" i="2"/>
  <c r="I54" i="2"/>
  <c r="Q70" i="2"/>
  <c r="O70" i="2"/>
  <c r="I70" i="2"/>
  <c r="O86" i="2"/>
  <c r="Q86" i="2" s="1"/>
  <c r="I86" i="2"/>
  <c r="O63" i="2"/>
  <c r="Q63" i="2" s="1"/>
  <c r="I63" i="2"/>
  <c r="O71" i="2"/>
  <c r="Q71" i="2" s="1"/>
  <c r="I71" i="2"/>
  <c r="O87" i="2"/>
  <c r="Q87" i="2" s="1"/>
  <c r="I87" i="2"/>
  <c r="Q68" i="2"/>
  <c r="O68" i="2"/>
  <c r="I68" i="2"/>
  <c r="Q72" i="2"/>
  <c r="O72" i="2"/>
  <c r="I72" i="2"/>
  <c r="Q88" i="2"/>
  <c r="O88" i="2"/>
  <c r="I88" i="2"/>
  <c r="O79" i="2"/>
  <c r="I79" i="2"/>
  <c r="N57" i="2"/>
  <c r="I57" i="2"/>
  <c r="O73" i="2"/>
  <c r="Q73" i="2" s="1"/>
  <c r="I73" i="2"/>
  <c r="Q89" i="2"/>
  <c r="O89" i="2"/>
  <c r="I89" i="2"/>
  <c r="O52" i="2"/>
  <c r="Q52" i="2" s="1"/>
  <c r="I52" i="2"/>
  <c r="O74" i="2"/>
  <c r="I74" i="2"/>
  <c r="O90" i="2"/>
  <c r="I90" i="2"/>
  <c r="N59" i="2"/>
  <c r="I59" i="2"/>
  <c r="O75" i="2"/>
  <c r="I75" i="2"/>
  <c r="O91" i="2"/>
  <c r="Q91" i="2" s="1"/>
  <c r="I91" i="2"/>
  <c r="O47" i="2"/>
  <c r="Q47" i="2" s="1"/>
  <c r="I47" i="2"/>
  <c r="O60" i="2"/>
  <c r="I60" i="2"/>
  <c r="O76" i="2"/>
  <c r="I76" i="2"/>
  <c r="O92" i="2"/>
  <c r="Q92" i="2" s="1"/>
  <c r="I92" i="2"/>
  <c r="Q90" i="2"/>
  <c r="L61" i="2"/>
  <c r="N61" i="2"/>
  <c r="L77" i="2"/>
  <c r="N77" i="2"/>
  <c r="L78" i="2"/>
  <c r="N78" i="2"/>
  <c r="K47" i="2"/>
  <c r="N47" i="2"/>
  <c r="L63" i="2"/>
  <c r="N63" i="2"/>
  <c r="L79" i="2"/>
  <c r="N79" i="2"/>
  <c r="L64" i="2"/>
  <c r="N64" i="2"/>
  <c r="L80" i="2"/>
  <c r="N80" i="2"/>
  <c r="L65" i="2"/>
  <c r="N65" i="2"/>
  <c r="L81" i="2"/>
  <c r="N81" i="2"/>
  <c r="L66" i="2"/>
  <c r="N66" i="2"/>
  <c r="L82" i="2"/>
  <c r="N82" i="2"/>
  <c r="K67" i="2"/>
  <c r="N67" i="2"/>
  <c r="K83" i="2"/>
  <c r="N83" i="2"/>
  <c r="K52" i="2"/>
  <c r="N52" i="2"/>
  <c r="K68" i="2"/>
  <c r="N68" i="2"/>
  <c r="L84" i="2"/>
  <c r="N84" i="2"/>
  <c r="L62" i="2"/>
  <c r="N62" i="2"/>
  <c r="L69" i="2"/>
  <c r="N69" i="2"/>
  <c r="L85" i="2"/>
  <c r="N85" i="2"/>
  <c r="L70" i="2"/>
  <c r="N70" i="2"/>
  <c r="L86" i="2"/>
  <c r="N86" i="2"/>
  <c r="K55" i="2"/>
  <c r="N55" i="2"/>
  <c r="K71" i="2"/>
  <c r="N71" i="2"/>
  <c r="K87" i="2"/>
  <c r="N87" i="2"/>
  <c r="K56" i="2"/>
  <c r="N56" i="2"/>
  <c r="K72" i="2"/>
  <c r="N72" i="2"/>
  <c r="L88" i="2"/>
  <c r="N88" i="2"/>
  <c r="L73" i="2"/>
  <c r="N73" i="2"/>
  <c r="L89" i="2"/>
  <c r="N89" i="2"/>
  <c r="K58" i="2"/>
  <c r="N58" i="2"/>
  <c r="L74" i="2"/>
  <c r="N74" i="2"/>
  <c r="L90" i="2"/>
  <c r="N90" i="2"/>
  <c r="L75" i="2"/>
  <c r="N75" i="2"/>
  <c r="L91" i="2"/>
  <c r="N91" i="2"/>
  <c r="L60" i="2"/>
  <c r="N60" i="2"/>
  <c r="L76" i="2"/>
  <c r="N76" i="2"/>
  <c r="L92" i="2"/>
  <c r="N92" i="2"/>
  <c r="L48" i="2"/>
  <c r="K48" i="2"/>
  <c r="L49" i="2"/>
  <c r="K49" i="2"/>
  <c r="K50" i="2"/>
  <c r="L51" i="2"/>
  <c r="O11" i="18" s="1"/>
  <c r="K51" i="2"/>
  <c r="G194" i="18" s="1"/>
  <c r="L53" i="2"/>
  <c r="K53" i="2"/>
  <c r="L54" i="2"/>
  <c r="K54" i="2"/>
  <c r="L57" i="2"/>
  <c r="K57" i="2"/>
  <c r="L59" i="2"/>
  <c r="K59" i="2"/>
  <c r="L71" i="2"/>
  <c r="K82" i="2"/>
  <c r="K61" i="2"/>
  <c r="K73" i="2"/>
  <c r="L50" i="2"/>
  <c r="K75" i="2"/>
  <c r="L87" i="2"/>
  <c r="K66" i="2"/>
  <c r="K77" i="2"/>
  <c r="L55" i="2"/>
  <c r="K89" i="2"/>
  <c r="K91" i="2"/>
  <c r="H77" i="8"/>
  <c r="H79" i="8" s="1"/>
  <c r="I51" i="8"/>
  <c r="J43" i="8"/>
  <c r="J70" i="8"/>
  <c r="J63" i="8"/>
  <c r="H63" i="8"/>
  <c r="J29" i="8"/>
  <c r="F53" i="8"/>
  <c r="K41" i="3"/>
  <c r="K46" i="3" s="1"/>
  <c r="K80" i="3" s="1"/>
  <c r="K62" i="2"/>
  <c r="L67" i="2"/>
  <c r="K78" i="2"/>
  <c r="L83" i="2"/>
  <c r="K84" i="2"/>
  <c r="L72" i="2"/>
  <c r="K63" i="2"/>
  <c r="L68" i="2"/>
  <c r="K79" i="2"/>
  <c r="K74" i="2"/>
  <c r="K90" i="2"/>
  <c r="L52" i="2"/>
  <c r="L58" i="2"/>
  <c r="K69" i="2"/>
  <c r="K85" i="2"/>
  <c r="K88" i="2"/>
  <c r="K64" i="2"/>
  <c r="K80" i="2"/>
  <c r="K70" i="2"/>
  <c r="K86" i="2"/>
  <c r="L56" i="2"/>
  <c r="K65" i="2"/>
  <c r="K81" i="2"/>
  <c r="L47" i="2"/>
  <c r="K60" i="2"/>
  <c r="K76" i="2"/>
  <c r="K92" i="2"/>
  <c r="O199" i="18" l="1"/>
  <c r="I199" i="18" s="1"/>
  <c r="O208" i="18"/>
  <c r="I208" i="18" s="1"/>
  <c r="K11" i="18"/>
  <c r="D194" i="18" s="1"/>
  <c r="E204" i="18" s="1"/>
  <c r="F204" i="18" s="1"/>
  <c r="O197" i="18"/>
  <c r="I197" i="18" s="1"/>
  <c r="O201" i="18"/>
  <c r="I201" i="18" s="1"/>
  <c r="O210" i="18"/>
  <c r="I210" i="18" s="1"/>
  <c r="O198" i="18"/>
  <c r="I198" i="18" s="1"/>
  <c r="O202" i="18"/>
  <c r="I202" i="18" s="1"/>
  <c r="O194" i="18"/>
  <c r="I194" i="18" s="1"/>
  <c r="O195" i="18"/>
  <c r="I195" i="18" s="1"/>
  <c r="O209" i="18"/>
  <c r="I209" i="18" s="1"/>
  <c r="O207" i="18"/>
  <c r="I207" i="18" s="1"/>
  <c r="O203" i="18"/>
  <c r="I203" i="18" s="1"/>
  <c r="O204" i="18"/>
  <c r="I204" i="18" s="1"/>
  <c r="O206" i="18"/>
  <c r="I206" i="18" s="1"/>
  <c r="O205" i="18"/>
  <c r="I205" i="18" s="1"/>
  <c r="O200" i="18"/>
  <c r="I200" i="18" s="1"/>
  <c r="O196" i="18"/>
  <c r="I196" i="18" s="1"/>
  <c r="O211" i="18"/>
  <c r="I211" i="18" s="1"/>
  <c r="L140" i="18"/>
  <c r="R128" i="18"/>
  <c r="K82" i="3"/>
  <c r="H36" i="8"/>
  <c r="H43" i="8"/>
  <c r="H29" i="8"/>
  <c r="H45" i="8" l="1"/>
  <c r="L45" i="18"/>
  <c r="L38" i="18"/>
  <c r="L36" i="18"/>
  <c r="L46" i="18"/>
  <c r="L39" i="18"/>
  <c r="L40" i="18"/>
  <c r="L44" i="18"/>
  <c r="L43" i="18"/>
  <c r="L48" i="18"/>
  <c r="L41" i="18"/>
  <c r="L37" i="18"/>
  <c r="L47" i="18"/>
  <c r="L51" i="18" s="1"/>
  <c r="L42" i="18"/>
  <c r="R126" i="18"/>
  <c r="T124" i="18"/>
  <c r="T128" i="18" s="1"/>
  <c r="V127" i="18" s="1"/>
  <c r="E265" i="18"/>
  <c r="F265" i="18" s="1"/>
  <c r="E198" i="18"/>
  <c r="F198" i="18" s="1"/>
  <c r="E370" i="18"/>
  <c r="F370" i="18" s="1"/>
  <c r="E351" i="18"/>
  <c r="F351" i="18" s="1"/>
  <c r="E328" i="18"/>
  <c r="F328" i="18" s="1"/>
  <c r="E308" i="18"/>
  <c r="F308" i="18" s="1"/>
  <c r="E288" i="18"/>
  <c r="F288" i="18" s="1"/>
  <c r="E264" i="18"/>
  <c r="F264" i="18" s="1"/>
  <c r="E244" i="18"/>
  <c r="F244" i="18" s="1"/>
  <c r="E219" i="18"/>
  <c r="F219" i="18" s="1"/>
  <c r="E201" i="18"/>
  <c r="F201" i="18" s="1"/>
  <c r="E369" i="18"/>
  <c r="F369" i="18" s="1"/>
  <c r="E347" i="18"/>
  <c r="F347" i="18" s="1"/>
  <c r="E327" i="18"/>
  <c r="F327" i="18" s="1"/>
  <c r="E307" i="18"/>
  <c r="F307" i="18" s="1"/>
  <c r="E283" i="18"/>
  <c r="F283" i="18" s="1"/>
  <c r="E263" i="18"/>
  <c r="F263" i="18" s="1"/>
  <c r="E243" i="18"/>
  <c r="F243" i="18" s="1"/>
  <c r="E218" i="18"/>
  <c r="F218" i="18" s="1"/>
  <c r="E368" i="18"/>
  <c r="F368" i="18" s="1"/>
  <c r="E346" i="18"/>
  <c r="F346" i="18" s="1"/>
  <c r="E326" i="18"/>
  <c r="F326" i="18" s="1"/>
  <c r="E306" i="18"/>
  <c r="F306" i="18" s="1"/>
  <c r="E282" i="18"/>
  <c r="F282" i="18" s="1"/>
  <c r="E262" i="18"/>
  <c r="F262" i="18" s="1"/>
  <c r="E242" i="18"/>
  <c r="F242" i="18" s="1"/>
  <c r="E217" i="18"/>
  <c r="F217" i="18" s="1"/>
  <c r="E345" i="18"/>
  <c r="F345" i="18" s="1"/>
  <c r="E325" i="18"/>
  <c r="F325" i="18" s="1"/>
  <c r="E305" i="18"/>
  <c r="F305" i="18" s="1"/>
  <c r="E281" i="18"/>
  <c r="F281" i="18" s="1"/>
  <c r="E261" i="18"/>
  <c r="F261" i="18" s="1"/>
  <c r="E241" i="18"/>
  <c r="F241" i="18" s="1"/>
  <c r="E216" i="18"/>
  <c r="F216" i="18" s="1"/>
  <c r="E363" i="18"/>
  <c r="F363" i="18" s="1"/>
  <c r="E344" i="18"/>
  <c r="F344" i="18" s="1"/>
  <c r="E324" i="18"/>
  <c r="F324" i="18" s="1"/>
  <c r="E304" i="18"/>
  <c r="F304" i="18" s="1"/>
  <c r="E280" i="18"/>
  <c r="F280" i="18" s="1"/>
  <c r="E260" i="18"/>
  <c r="F260" i="18" s="1"/>
  <c r="E240" i="18"/>
  <c r="F240" i="18" s="1"/>
  <c r="E215" i="18"/>
  <c r="F215" i="18" s="1"/>
  <c r="E367" i="18"/>
  <c r="F367" i="18" s="1"/>
  <c r="E384" i="18"/>
  <c r="F384" i="18" s="1"/>
  <c r="E362" i="18"/>
  <c r="F362" i="18" s="1"/>
  <c r="E343" i="18"/>
  <c r="F343" i="18" s="1"/>
  <c r="E323" i="18"/>
  <c r="F323" i="18" s="1"/>
  <c r="E299" i="18"/>
  <c r="F299" i="18" s="1"/>
  <c r="E279" i="18"/>
  <c r="F279" i="18" s="1"/>
  <c r="E259" i="18"/>
  <c r="F259" i="18" s="1"/>
  <c r="E235" i="18"/>
  <c r="F235" i="18" s="1"/>
  <c r="E214" i="18"/>
  <c r="F214" i="18" s="1"/>
  <c r="E379" i="18"/>
  <c r="F379" i="18" s="1"/>
  <c r="E360" i="18"/>
  <c r="F360" i="18" s="1"/>
  <c r="E341" i="18"/>
  <c r="F341" i="18" s="1"/>
  <c r="E321" i="18"/>
  <c r="F321" i="18" s="1"/>
  <c r="E297" i="18"/>
  <c r="F297" i="18" s="1"/>
  <c r="E277" i="18"/>
  <c r="F277" i="18" s="1"/>
  <c r="E257" i="18"/>
  <c r="F257" i="18" s="1"/>
  <c r="E233" i="18"/>
  <c r="F233" i="18" s="1"/>
  <c r="E212" i="18"/>
  <c r="F212" i="18" s="1"/>
  <c r="E224" i="18"/>
  <c r="F224" i="18" s="1"/>
  <c r="E213" i="18"/>
  <c r="F213" i="18" s="1"/>
  <c r="E378" i="18"/>
  <c r="F378" i="18" s="1"/>
  <c r="E359" i="18"/>
  <c r="F359" i="18" s="1"/>
  <c r="E340" i="18"/>
  <c r="F340" i="18" s="1"/>
  <c r="E320" i="18"/>
  <c r="F320" i="18" s="1"/>
  <c r="E296" i="18"/>
  <c r="F296" i="18" s="1"/>
  <c r="E276" i="18"/>
  <c r="F276" i="18" s="1"/>
  <c r="E256" i="18"/>
  <c r="F256" i="18" s="1"/>
  <c r="E232" i="18"/>
  <c r="F232" i="18" s="1"/>
  <c r="E211" i="18"/>
  <c r="F211" i="18" s="1"/>
  <c r="E245" i="18"/>
  <c r="F245" i="18" s="1"/>
  <c r="E342" i="18"/>
  <c r="F342" i="18" s="1"/>
  <c r="E377" i="18"/>
  <c r="F377" i="18" s="1"/>
  <c r="E358" i="18"/>
  <c r="F358" i="18" s="1"/>
  <c r="E339" i="18"/>
  <c r="F339" i="18" s="1"/>
  <c r="E315" i="18"/>
  <c r="F315" i="18" s="1"/>
  <c r="E295" i="18"/>
  <c r="F295" i="18" s="1"/>
  <c r="E275" i="18"/>
  <c r="F275" i="18" s="1"/>
  <c r="E251" i="18"/>
  <c r="F251" i="18" s="1"/>
  <c r="E231" i="18"/>
  <c r="F231" i="18" s="1"/>
  <c r="E210" i="18"/>
  <c r="F210" i="18" s="1"/>
  <c r="E309" i="18"/>
  <c r="F309" i="18" s="1"/>
  <c r="E258" i="18"/>
  <c r="F258" i="18" s="1"/>
  <c r="E376" i="18"/>
  <c r="F376" i="18" s="1"/>
  <c r="E357" i="18"/>
  <c r="F357" i="18" s="1"/>
  <c r="E338" i="18"/>
  <c r="F338" i="18" s="1"/>
  <c r="E314" i="18"/>
  <c r="F314" i="18" s="1"/>
  <c r="E294" i="18"/>
  <c r="F294" i="18" s="1"/>
  <c r="E274" i="18"/>
  <c r="F274" i="18" s="1"/>
  <c r="E250" i="18"/>
  <c r="F250" i="18" s="1"/>
  <c r="E230" i="18"/>
  <c r="F230" i="18" s="1"/>
  <c r="E208" i="18"/>
  <c r="F208" i="18" s="1"/>
  <c r="E352" i="18"/>
  <c r="F352" i="18" s="1"/>
  <c r="E383" i="18"/>
  <c r="F383" i="18" s="1"/>
  <c r="E298" i="18"/>
  <c r="F298" i="18" s="1"/>
  <c r="E375" i="18"/>
  <c r="F375" i="18" s="1"/>
  <c r="E356" i="18"/>
  <c r="F356" i="18" s="1"/>
  <c r="E337" i="18"/>
  <c r="F337" i="18" s="1"/>
  <c r="E313" i="18"/>
  <c r="F313" i="18" s="1"/>
  <c r="E293" i="18"/>
  <c r="F293" i="18" s="1"/>
  <c r="E273" i="18"/>
  <c r="F273" i="18" s="1"/>
  <c r="E249" i="18"/>
  <c r="F249" i="18" s="1"/>
  <c r="E229" i="18"/>
  <c r="F229" i="18" s="1"/>
  <c r="E203" i="18"/>
  <c r="F203" i="18" s="1"/>
  <c r="E371" i="18"/>
  <c r="F371" i="18" s="1"/>
  <c r="E234" i="18"/>
  <c r="F234" i="18" s="1"/>
  <c r="E374" i="18"/>
  <c r="F374" i="18" s="1"/>
  <c r="E355" i="18"/>
  <c r="F355" i="18" s="1"/>
  <c r="E336" i="18"/>
  <c r="F336" i="18" s="1"/>
  <c r="E312" i="18"/>
  <c r="F312" i="18" s="1"/>
  <c r="E292" i="18"/>
  <c r="F292" i="18" s="1"/>
  <c r="E272" i="18"/>
  <c r="F272" i="18" s="1"/>
  <c r="E248" i="18"/>
  <c r="F248" i="18" s="1"/>
  <c r="E228" i="18"/>
  <c r="F228" i="18" s="1"/>
  <c r="E202" i="18"/>
  <c r="F202" i="18" s="1"/>
  <c r="E329" i="18"/>
  <c r="F329" i="18" s="1"/>
  <c r="E322" i="18"/>
  <c r="F322" i="18" s="1"/>
  <c r="E373" i="18"/>
  <c r="F373" i="18" s="1"/>
  <c r="E354" i="18"/>
  <c r="F354" i="18" s="1"/>
  <c r="E331" i="18"/>
  <c r="F331" i="18" s="1"/>
  <c r="E311" i="18"/>
  <c r="F311" i="18" s="1"/>
  <c r="E291" i="18"/>
  <c r="F291" i="18" s="1"/>
  <c r="E267" i="18"/>
  <c r="F267" i="18" s="1"/>
  <c r="E247" i="18"/>
  <c r="F247" i="18" s="1"/>
  <c r="E227" i="18"/>
  <c r="F227" i="18" s="1"/>
  <c r="E199" i="18"/>
  <c r="F199" i="18" s="1"/>
  <c r="E289" i="18"/>
  <c r="F289" i="18" s="1"/>
  <c r="E361" i="18"/>
  <c r="F361" i="18" s="1"/>
  <c r="E278" i="18"/>
  <c r="F278" i="18" s="1"/>
  <c r="E372" i="18"/>
  <c r="F372" i="18" s="1"/>
  <c r="E353" i="18"/>
  <c r="F353" i="18" s="1"/>
  <c r="E330" i="18"/>
  <c r="F330" i="18" s="1"/>
  <c r="E310" i="18"/>
  <c r="F310" i="18" s="1"/>
  <c r="E290" i="18"/>
  <c r="F290" i="18" s="1"/>
  <c r="E266" i="18"/>
  <c r="F266" i="18" s="1"/>
  <c r="E246" i="18"/>
  <c r="F246" i="18" s="1"/>
  <c r="E226" i="18"/>
  <c r="F226" i="18" s="1"/>
  <c r="E200" i="18"/>
  <c r="F200" i="18" s="1"/>
  <c r="E225" i="18"/>
  <c r="F225" i="18" s="1"/>
  <c r="E209" i="18"/>
  <c r="F209" i="18" s="1"/>
  <c r="E335" i="18"/>
  <c r="F335" i="18" s="1"/>
  <c r="E319" i="18"/>
  <c r="F319" i="18" s="1"/>
  <c r="E303" i="18"/>
  <c r="F303" i="18" s="1"/>
  <c r="E287" i="18"/>
  <c r="F287" i="18" s="1"/>
  <c r="E271" i="18"/>
  <c r="F271" i="18" s="1"/>
  <c r="E255" i="18"/>
  <c r="F255" i="18" s="1"/>
  <c r="E239" i="18"/>
  <c r="F239" i="18" s="1"/>
  <c r="E223" i="18"/>
  <c r="F223" i="18" s="1"/>
  <c r="E207" i="18"/>
  <c r="F207" i="18" s="1"/>
  <c r="E382" i="18"/>
  <c r="F382" i="18" s="1"/>
  <c r="E366" i="18"/>
  <c r="F366" i="18" s="1"/>
  <c r="E350" i="18"/>
  <c r="F350" i="18" s="1"/>
  <c r="E334" i="18"/>
  <c r="F334" i="18" s="1"/>
  <c r="E318" i="18"/>
  <c r="F318" i="18" s="1"/>
  <c r="E302" i="18"/>
  <c r="F302" i="18" s="1"/>
  <c r="E286" i="18"/>
  <c r="F286" i="18" s="1"/>
  <c r="E270" i="18"/>
  <c r="F270" i="18" s="1"/>
  <c r="E254" i="18"/>
  <c r="F254" i="18" s="1"/>
  <c r="E238" i="18"/>
  <c r="F238" i="18" s="1"/>
  <c r="E222" i="18"/>
  <c r="F222" i="18" s="1"/>
  <c r="E206" i="18"/>
  <c r="F206" i="18" s="1"/>
  <c r="E381" i="18"/>
  <c r="F381" i="18" s="1"/>
  <c r="E365" i="18"/>
  <c r="F365" i="18" s="1"/>
  <c r="E349" i="18"/>
  <c r="F349" i="18" s="1"/>
  <c r="E333" i="18"/>
  <c r="F333" i="18" s="1"/>
  <c r="E317" i="18"/>
  <c r="F317" i="18" s="1"/>
  <c r="E301" i="18"/>
  <c r="F301" i="18" s="1"/>
  <c r="E285" i="18"/>
  <c r="F285" i="18" s="1"/>
  <c r="E269" i="18"/>
  <c r="F269" i="18" s="1"/>
  <c r="E253" i="18"/>
  <c r="F253" i="18" s="1"/>
  <c r="E237" i="18"/>
  <c r="F237" i="18" s="1"/>
  <c r="E221" i="18"/>
  <c r="F221" i="18" s="1"/>
  <c r="E205" i="18"/>
  <c r="F205" i="18" s="1"/>
  <c r="E380" i="18"/>
  <c r="F380" i="18" s="1"/>
  <c r="E364" i="18"/>
  <c r="F364" i="18" s="1"/>
  <c r="E348" i="18"/>
  <c r="F348" i="18" s="1"/>
  <c r="E332" i="18"/>
  <c r="F332" i="18" s="1"/>
  <c r="E316" i="18"/>
  <c r="F316" i="18" s="1"/>
  <c r="E300" i="18"/>
  <c r="F300" i="18" s="1"/>
  <c r="E284" i="18"/>
  <c r="F284" i="18" s="1"/>
  <c r="E268" i="18"/>
  <c r="F268" i="18" s="1"/>
  <c r="E252" i="18"/>
  <c r="F252" i="18" s="1"/>
  <c r="E236" i="18"/>
  <c r="F236" i="18" s="1"/>
  <c r="E220" i="18"/>
  <c r="F220" i="18" s="1"/>
  <c r="F95" i="8"/>
  <c r="T126" i="18" l="1"/>
  <c r="V125" i="18" s="1"/>
  <c r="L142" i="18" s="1"/>
  <c r="L143" i="18" s="1"/>
  <c r="H196" i="18"/>
  <c r="L22" i="18" l="1"/>
  <c r="N199" i="18" s="1"/>
  <c r="S131" i="18"/>
  <c r="N202" i="18"/>
  <c r="N209" i="18"/>
  <c r="J209" i="18" s="1"/>
  <c r="N196" i="18"/>
  <c r="J196" i="18" s="1"/>
  <c r="N205" i="18"/>
  <c r="L205" i="18" s="1"/>
  <c r="N210" i="18"/>
  <c r="J210" i="18" s="1"/>
  <c r="N206" i="18"/>
  <c r="L206" i="18" s="1"/>
  <c r="L13" i="18"/>
  <c r="L32" i="18" s="1"/>
  <c r="L53" i="18" s="1"/>
  <c r="L69" i="18" s="1"/>
  <c r="J233" i="18" s="1"/>
  <c r="N195" i="18"/>
  <c r="L195" i="18" s="1"/>
  <c r="N208" i="18"/>
  <c r="L208" i="18" s="1"/>
  <c r="N198" i="18"/>
  <c r="L198" i="18" s="1"/>
  <c r="N194" i="18"/>
  <c r="L194" i="18" s="1"/>
  <c r="N204" i="18"/>
  <c r="J204" i="18" s="1"/>
  <c r="N201" i="18"/>
  <c r="J201" i="18" s="1"/>
  <c r="N211" i="18"/>
  <c r="J211" i="18" s="1"/>
  <c r="N207" i="18"/>
  <c r="J207" i="18" s="1"/>
  <c r="N197" i="18"/>
  <c r="N203" i="18"/>
  <c r="L203" i="18" s="1"/>
  <c r="J202" i="18"/>
  <c r="L202" i="18"/>
  <c r="L197" i="18"/>
  <c r="J197" i="18"/>
  <c r="L209" i="18" l="1"/>
  <c r="L210" i="18"/>
  <c r="J205" i="18"/>
  <c r="L199" i="18"/>
  <c r="J199" i="18"/>
  <c r="N200" i="18"/>
  <c r="L200" i="18" s="1"/>
  <c r="L145" i="18"/>
  <c r="J208" i="18"/>
  <c r="J195" i="18"/>
  <c r="L196" i="18"/>
  <c r="J203" i="18"/>
  <c r="J206" i="18"/>
  <c r="L201" i="18"/>
  <c r="J200" i="18"/>
  <c r="L211" i="18"/>
  <c r="J194" i="18"/>
  <c r="J198" i="18"/>
  <c r="L207" i="18"/>
  <c r="L204" i="18"/>
</calcChain>
</file>

<file path=xl/comments1.xml><?xml version="1.0" encoding="utf-8"?>
<comments xmlns="http://schemas.openxmlformats.org/spreadsheetml/2006/main">
  <authors>
    <author>Stibitz, Christian</author>
  </authors>
  <commentList>
    <comment ref="E10" authorId="0" shapeId="0">
      <text>
        <r>
          <rPr>
            <b/>
            <sz val="12"/>
            <color indexed="81"/>
            <rFont val="Segoe UI"/>
            <family val="2"/>
          </rPr>
          <t>For Germany System I</t>
        </r>
        <r>
          <rPr>
            <sz val="9"/>
            <color indexed="81"/>
            <rFont val="Segoe UI"/>
            <family val="2"/>
          </rPr>
          <t xml:space="preserve">
</t>
        </r>
      </text>
    </comment>
  </commentList>
</comments>
</file>

<file path=xl/comments2.xml><?xml version="1.0" encoding="utf-8"?>
<comments xmlns="http://schemas.openxmlformats.org/spreadsheetml/2006/main">
  <authors>
    <author>Stibitz, Christian</author>
  </authors>
  <commentList>
    <comment ref="H8" authorId="0" shapeId="0">
      <text>
        <r>
          <rPr>
            <b/>
            <sz val="11"/>
            <color indexed="81"/>
            <rFont val="Segoe UI"/>
            <family val="2"/>
          </rPr>
          <t xml:space="preserve">For lifting units with faeces and pressure pipe size &lt; DN80 cutting wheel (US)
</t>
        </r>
      </text>
    </comment>
    <comment ref="L86" authorId="0" shapeId="0">
      <text>
        <r>
          <rPr>
            <b/>
            <sz val="11"/>
            <color indexed="81"/>
            <rFont val="Segoe UI"/>
            <family val="2"/>
          </rPr>
          <t xml:space="preserve">Es kann  auch ein höherer Ausschaltpunkt gewählt werden, mit einer anderen Schalthäufigkeit
</t>
        </r>
      </text>
    </comment>
    <comment ref="L90" authorId="0" shapeId="0">
      <text>
        <r>
          <rPr>
            <b/>
            <sz val="12"/>
            <color indexed="81"/>
            <rFont val="Segoe UI"/>
            <family val="2"/>
          </rPr>
          <t>Anhaltswerte für Schalthäufigkeite:
Amarex &lt;= 7,5kW -30 1/h
Amarex &gt;= 7,5kW - 10 1/h
AmaPorter - 15 1/h (siehe Baureihenheft)
AmaDrainer - 20 1/h</t>
        </r>
      </text>
    </comment>
    <comment ref="L111" authorId="0" shapeId="0">
      <text>
        <r>
          <rPr>
            <b/>
            <sz val="12"/>
            <color indexed="81"/>
            <rFont val="Segoe UI"/>
            <family val="2"/>
          </rPr>
          <t>Choosen shaft diameter &gt; Minimum shaft diameter</t>
        </r>
        <r>
          <rPr>
            <sz val="9"/>
            <color indexed="81"/>
            <rFont val="Segoe UI"/>
            <family val="2"/>
          </rPr>
          <t xml:space="preserve">
</t>
        </r>
      </text>
    </comment>
    <comment ref="H124" authorId="0" shapeId="0">
      <text>
        <r>
          <rPr>
            <b/>
            <sz val="12"/>
            <color indexed="81"/>
            <rFont val="Segoe UI"/>
            <family val="2"/>
          </rPr>
          <t>Rohrwerkstoff wählen</t>
        </r>
        <r>
          <rPr>
            <sz val="9"/>
            <color indexed="81"/>
            <rFont val="Segoe UI"/>
            <family val="2"/>
          </rPr>
          <t xml:space="preserve">
</t>
        </r>
      </text>
    </comment>
    <comment ref="L129" authorId="0" shapeId="0">
      <text>
        <r>
          <rPr>
            <b/>
            <sz val="12"/>
            <color indexed="81"/>
            <rFont val="Segoe UI"/>
            <family val="2"/>
          </rPr>
          <t>Frostschutztiefe eintragen</t>
        </r>
        <r>
          <rPr>
            <sz val="9"/>
            <color indexed="81"/>
            <rFont val="Segoe UI"/>
            <family val="2"/>
          </rPr>
          <t xml:space="preserve">
</t>
        </r>
      </text>
    </comment>
    <comment ref="L132" authorId="0" shapeId="0">
      <text>
        <r>
          <rPr>
            <b/>
            <sz val="12"/>
            <color indexed="81"/>
            <rFont val="Segoe UI"/>
            <family val="2"/>
          </rPr>
          <t xml:space="preserve">If dimensions for fittings and bends are available, please enter them. If fittings are installed in a separate horizontal shaft, please enter zero.
</t>
        </r>
        <r>
          <rPr>
            <sz val="9"/>
            <color indexed="81"/>
            <rFont val="Segoe UI"/>
            <family val="2"/>
          </rPr>
          <t xml:space="preserve">
</t>
        </r>
      </text>
    </comment>
    <comment ref="L136" authorId="0" shapeId="0">
      <text>
        <r>
          <rPr>
            <b/>
            <sz val="12"/>
            <color indexed="81"/>
            <rFont val="Segoe UI"/>
            <family val="2"/>
          </rPr>
          <t>The lower edge of the highest inlet must be at least this depth.</t>
        </r>
        <r>
          <rPr>
            <sz val="9"/>
            <color indexed="81"/>
            <rFont val="Segoe UI"/>
            <family val="2"/>
          </rPr>
          <t xml:space="preserve">
</t>
        </r>
      </text>
    </comment>
    <comment ref="L137" authorId="0" shapeId="0">
      <text>
        <r>
          <rPr>
            <b/>
            <sz val="12"/>
            <color indexed="81"/>
            <rFont val="Segoe UI"/>
            <family val="2"/>
          </rPr>
          <t>Height of the bottom edge of the deepest inlet from the ground surface.</t>
        </r>
        <r>
          <rPr>
            <sz val="14"/>
            <color indexed="81"/>
            <rFont val="Segoe UI"/>
            <family val="2"/>
          </rPr>
          <t xml:space="preserve">
</t>
        </r>
      </text>
    </comment>
    <comment ref="L139" authorId="0" shapeId="0">
      <text>
        <r>
          <rPr>
            <b/>
            <sz val="12"/>
            <color indexed="81"/>
            <rFont val="Segoe UI"/>
            <family val="2"/>
          </rPr>
          <t>For reserve pump operation or peak load operation, an additional reserve volume can also be used. It should be at least 0.1 m so that the switch-on point is not also the alarm level.</t>
        </r>
        <r>
          <rPr>
            <sz val="9"/>
            <color indexed="81"/>
            <rFont val="Segoe UI"/>
            <family val="2"/>
          </rPr>
          <t xml:space="preserve">
</t>
        </r>
      </text>
    </comment>
  </commentList>
</comments>
</file>

<file path=xl/sharedStrings.xml><?xml version="1.0" encoding="utf-8"?>
<sst xmlns="http://schemas.openxmlformats.org/spreadsheetml/2006/main" count="1053" uniqueCount="551">
  <si>
    <t>Fließgeschwindigkeit [m/s]</t>
  </si>
  <si>
    <t>DN10</t>
  </si>
  <si>
    <t>PVC-U</t>
  </si>
  <si>
    <t>DN15</t>
  </si>
  <si>
    <t>DN20</t>
  </si>
  <si>
    <t>DN25</t>
  </si>
  <si>
    <t>DN32</t>
  </si>
  <si>
    <t>DN40</t>
  </si>
  <si>
    <t>DN50</t>
  </si>
  <si>
    <t>DN65</t>
  </si>
  <si>
    <t>DN80</t>
  </si>
  <si>
    <t>DN100</t>
  </si>
  <si>
    <t>DN125</t>
  </si>
  <si>
    <t>DN150</t>
  </si>
  <si>
    <t>DN200</t>
  </si>
  <si>
    <t>DN250</t>
  </si>
  <si>
    <t>DN315</t>
  </si>
  <si>
    <t>PE-HD</t>
  </si>
  <si>
    <t>DN300</t>
  </si>
  <si>
    <t>DN350</t>
  </si>
  <si>
    <t>DN400</t>
  </si>
  <si>
    <t>Grauguss</t>
  </si>
  <si>
    <t>DN70</t>
  </si>
  <si>
    <t>DN500</t>
  </si>
  <si>
    <t>DN600</t>
  </si>
  <si>
    <t>Stahl (geschw.)</t>
  </si>
  <si>
    <t>Edelstahl</t>
  </si>
  <si>
    <t>Spalte1</t>
  </si>
  <si>
    <r>
      <t>Q</t>
    </r>
    <r>
      <rPr>
        <b/>
        <vertAlign val="subscript"/>
        <sz val="12"/>
        <color theme="1"/>
        <rFont val="Calibri"/>
        <family val="2"/>
        <scheme val="minor"/>
      </rPr>
      <t xml:space="preserve">C </t>
    </r>
    <r>
      <rPr>
        <b/>
        <sz val="12"/>
        <color theme="1"/>
        <rFont val="Calibri"/>
        <family val="2"/>
        <scheme val="minor"/>
      </rPr>
      <t>[l/s]</t>
    </r>
  </si>
  <si>
    <t>Anzahl</t>
  </si>
  <si>
    <t>DU [l/s]</t>
  </si>
  <si>
    <t>Summe [l/s]</t>
  </si>
  <si>
    <t>DN 40</t>
  </si>
  <si>
    <t>DN 50</t>
  </si>
  <si>
    <t>DN 56/60</t>
  </si>
  <si>
    <t>DN 80/90</t>
  </si>
  <si>
    <t>DN 80 /     DN 100</t>
  </si>
  <si>
    <t>Siehe Anmerkung</t>
  </si>
  <si>
    <t>DN 100</t>
  </si>
  <si>
    <t>DN 70</t>
  </si>
  <si>
    <t>[l/s]</t>
  </si>
  <si>
    <t>K</t>
  </si>
  <si>
    <r>
      <t>Q</t>
    </r>
    <r>
      <rPr>
        <b/>
        <vertAlign val="subscript"/>
        <sz val="11"/>
        <color theme="1"/>
        <rFont val="Calibri"/>
        <family val="2"/>
        <scheme val="minor"/>
      </rPr>
      <t>WW</t>
    </r>
  </si>
  <si>
    <r>
      <t>Q</t>
    </r>
    <r>
      <rPr>
        <b/>
        <vertAlign val="subscript"/>
        <sz val="11"/>
        <color theme="1"/>
        <rFont val="Calibri"/>
        <family val="2"/>
        <scheme val="minor"/>
      </rPr>
      <t>DU</t>
    </r>
  </si>
  <si>
    <t>Ölbrennwert in</t>
  </si>
  <si>
    <t xml:space="preserve"> [kW]</t>
  </si>
  <si>
    <r>
      <t>Q</t>
    </r>
    <r>
      <rPr>
        <b/>
        <vertAlign val="subscript"/>
        <sz val="12"/>
        <color theme="1"/>
        <rFont val="Calibri"/>
        <family val="2"/>
        <scheme val="minor"/>
      </rPr>
      <t xml:space="preserve">CB,Öl </t>
    </r>
  </si>
  <si>
    <t xml:space="preserve">Gasbrennwert in </t>
  </si>
  <si>
    <r>
      <t>Q</t>
    </r>
    <r>
      <rPr>
        <b/>
        <vertAlign val="subscript"/>
        <sz val="12"/>
        <color theme="1"/>
        <rFont val="Calibri"/>
        <family val="2"/>
        <scheme val="minor"/>
      </rPr>
      <t xml:space="preserve">CB,Gas </t>
    </r>
  </si>
  <si>
    <r>
      <t>Q</t>
    </r>
    <r>
      <rPr>
        <b/>
        <vertAlign val="subscript"/>
        <sz val="12"/>
        <color theme="1"/>
        <rFont val="Calibri"/>
        <family val="2"/>
        <scheme val="minor"/>
      </rPr>
      <t xml:space="preserve">CDrainage </t>
    </r>
  </si>
  <si>
    <t>[l/m*h]</t>
  </si>
  <si>
    <r>
      <t>Q</t>
    </r>
    <r>
      <rPr>
        <b/>
        <vertAlign val="subscript"/>
        <sz val="12"/>
        <color theme="1"/>
        <rFont val="Calibri"/>
        <family val="2"/>
        <scheme val="minor"/>
      </rPr>
      <t>C1</t>
    </r>
  </si>
  <si>
    <r>
      <t>Q</t>
    </r>
    <r>
      <rPr>
        <b/>
        <vertAlign val="subscript"/>
        <sz val="12"/>
        <color theme="1"/>
        <rFont val="Calibri"/>
        <family val="2"/>
        <scheme val="minor"/>
      </rPr>
      <t>C2</t>
    </r>
  </si>
  <si>
    <r>
      <t>Q</t>
    </r>
    <r>
      <rPr>
        <b/>
        <vertAlign val="subscript"/>
        <sz val="12"/>
        <color theme="1"/>
        <rFont val="Calibri"/>
        <family val="2"/>
        <scheme val="minor"/>
      </rPr>
      <t>C3</t>
    </r>
  </si>
  <si>
    <r>
      <rPr>
        <b/>
        <vertAlign val="subscript"/>
        <sz val="12"/>
        <color theme="1"/>
        <rFont val="Calibri"/>
        <family val="2"/>
        <scheme val="minor"/>
      </rPr>
      <t xml:space="preserve"> </t>
    </r>
    <r>
      <rPr>
        <b/>
        <sz val="12"/>
        <color theme="1"/>
        <rFont val="Calibri"/>
        <family val="2"/>
        <scheme val="minor"/>
      </rPr>
      <t>[l/s]</t>
    </r>
  </si>
  <si>
    <r>
      <t>Q</t>
    </r>
    <r>
      <rPr>
        <b/>
        <vertAlign val="subscript"/>
        <sz val="12"/>
        <color theme="1"/>
        <rFont val="Calibri"/>
        <family val="2"/>
        <scheme val="minor"/>
      </rPr>
      <t>P1</t>
    </r>
  </si>
  <si>
    <r>
      <t>Q</t>
    </r>
    <r>
      <rPr>
        <b/>
        <vertAlign val="subscript"/>
        <sz val="12"/>
        <color theme="1"/>
        <rFont val="Calibri"/>
        <family val="2"/>
        <scheme val="minor"/>
      </rPr>
      <t>P2</t>
    </r>
  </si>
  <si>
    <r>
      <t>Q</t>
    </r>
    <r>
      <rPr>
        <b/>
        <vertAlign val="subscript"/>
        <sz val="12"/>
        <color theme="1"/>
        <rFont val="Calibri"/>
        <family val="2"/>
        <scheme val="minor"/>
      </rPr>
      <t>P3</t>
    </r>
  </si>
  <si>
    <r>
      <t>[m</t>
    </r>
    <r>
      <rPr>
        <b/>
        <vertAlign val="superscript"/>
        <sz val="12"/>
        <color theme="1"/>
        <rFont val="Calibri"/>
        <family val="2"/>
        <scheme val="minor"/>
      </rPr>
      <t>3</t>
    </r>
    <r>
      <rPr>
        <b/>
        <sz val="12"/>
        <color theme="1"/>
        <rFont val="Calibri"/>
        <family val="2"/>
        <scheme val="minor"/>
      </rPr>
      <t>/h]</t>
    </r>
  </si>
  <si>
    <t>t[°C]</t>
  </si>
  <si>
    <r>
      <t>kg/m</t>
    </r>
    <r>
      <rPr>
        <vertAlign val="superscript"/>
        <sz val="11"/>
        <color theme="1"/>
        <rFont val="Calibri"/>
        <family val="2"/>
        <scheme val="minor"/>
      </rPr>
      <t>3</t>
    </r>
  </si>
  <si>
    <r>
      <t>m</t>
    </r>
    <r>
      <rPr>
        <vertAlign val="superscript"/>
        <sz val="11"/>
        <color theme="1"/>
        <rFont val="Calibri"/>
        <family val="2"/>
        <scheme val="minor"/>
      </rPr>
      <t>2</t>
    </r>
    <r>
      <rPr>
        <sz val="11"/>
        <color theme="1"/>
        <rFont val="Calibri"/>
        <family val="2"/>
        <scheme val="minor"/>
      </rPr>
      <t>/s</t>
    </r>
  </si>
  <si>
    <r>
      <t>mm</t>
    </r>
    <r>
      <rPr>
        <vertAlign val="superscript"/>
        <sz val="11"/>
        <color theme="1"/>
        <rFont val="Calibri"/>
        <family val="2"/>
        <scheme val="minor"/>
      </rPr>
      <t>2</t>
    </r>
    <r>
      <rPr>
        <sz val="11"/>
        <color theme="1"/>
        <rFont val="Calibri"/>
        <family val="2"/>
        <scheme val="minor"/>
      </rPr>
      <t>/s</t>
    </r>
  </si>
  <si>
    <t>Nennweiten</t>
  </si>
  <si>
    <r>
      <t>V</t>
    </r>
    <r>
      <rPr>
        <b/>
        <vertAlign val="subscript"/>
        <sz val="12"/>
        <color theme="1"/>
        <rFont val="Calibri"/>
        <family val="2"/>
        <scheme val="minor"/>
      </rPr>
      <t xml:space="preserve">Rück </t>
    </r>
    <r>
      <rPr>
        <b/>
        <sz val="12"/>
        <color theme="1"/>
        <rFont val="Calibri"/>
        <family val="2"/>
        <scheme val="minor"/>
      </rPr>
      <t>[m</t>
    </r>
    <r>
      <rPr>
        <b/>
        <vertAlign val="superscript"/>
        <sz val="12"/>
        <color theme="1"/>
        <rFont val="Calibri"/>
        <family val="2"/>
        <scheme val="minor"/>
      </rPr>
      <t>3</t>
    </r>
    <r>
      <rPr>
        <b/>
        <sz val="12"/>
        <color theme="1"/>
        <rFont val="Calibri"/>
        <family val="2"/>
        <scheme val="minor"/>
      </rPr>
      <t>]</t>
    </r>
  </si>
  <si>
    <r>
      <t>A</t>
    </r>
    <r>
      <rPr>
        <b/>
        <vertAlign val="subscript"/>
        <sz val="12"/>
        <color theme="1"/>
        <rFont val="Calibri"/>
        <family val="2"/>
        <scheme val="minor"/>
      </rPr>
      <t>ges</t>
    </r>
    <r>
      <rPr>
        <b/>
        <sz val="12"/>
        <color theme="1"/>
        <rFont val="Calibri"/>
        <family val="2"/>
        <scheme val="minor"/>
      </rPr>
      <t xml:space="preserve"> [m</t>
    </r>
    <r>
      <rPr>
        <b/>
        <vertAlign val="superscript"/>
        <sz val="12"/>
        <color theme="1"/>
        <rFont val="Calibri"/>
        <family val="2"/>
        <scheme val="minor"/>
      </rPr>
      <t>2</t>
    </r>
    <r>
      <rPr>
        <b/>
        <sz val="12"/>
        <color theme="1"/>
        <rFont val="Calibri"/>
        <family val="2"/>
        <scheme val="minor"/>
      </rPr>
      <t>]</t>
    </r>
  </si>
  <si>
    <r>
      <t xml:space="preserve">Sollten die Regeneinzugsflächen des Grundstücks weitgehend aus Dachflächen und nicht schadlos überflutbaren Flächen (z. B. &gt; 70 %, hierzu zählen auch Innenhöfe) bestehen, ist die Überflutungsprüfung in Verbindung mit der Notentwässerung für das fünf-min-Regenereignis in 100 a (r(5,100)) nachzuweisen. Die Berücksichtigung des Abflussbeiwertes, C, für die jeweilige Fläche ist nur bei der Ermittlung der Abflussmenge mit dem zwei- bzw. fünfjährigen Regenereignis zulässig. </t>
    </r>
    <r>
      <rPr>
        <b/>
        <sz val="12"/>
        <color rgb="FFFF0000"/>
        <rFont val="Calibri"/>
        <family val="2"/>
        <scheme val="minor"/>
      </rPr>
      <t xml:space="preserve">In diesem Fall bei freie Eingabe(r(5,30)) den Wert (r(5,100)) eintargen und der bei der Art der Entwässerungsfläche C = 1 wählen. </t>
    </r>
  </si>
  <si>
    <t>Entwässerungsflächen gesamt</t>
  </si>
  <si>
    <t>Abflußbeiwert der Flächen</t>
  </si>
  <si>
    <t>C</t>
  </si>
  <si>
    <t>Entwässerungsflächen</t>
  </si>
  <si>
    <r>
      <t>A</t>
    </r>
    <r>
      <rPr>
        <b/>
        <vertAlign val="subscript"/>
        <sz val="12"/>
        <color theme="1"/>
        <rFont val="Calibri"/>
        <family val="2"/>
        <scheme val="minor"/>
      </rPr>
      <t>x</t>
    </r>
    <r>
      <rPr>
        <b/>
        <sz val="12"/>
        <color theme="1"/>
        <rFont val="Calibri"/>
        <family val="2"/>
        <scheme val="minor"/>
      </rPr>
      <t xml:space="preserve"> [m</t>
    </r>
    <r>
      <rPr>
        <b/>
        <vertAlign val="superscript"/>
        <sz val="12"/>
        <color theme="1"/>
        <rFont val="Calibri"/>
        <family val="2"/>
        <scheme val="minor"/>
      </rPr>
      <t>2</t>
    </r>
    <r>
      <rPr>
        <b/>
        <sz val="12"/>
        <color theme="1"/>
        <rFont val="Calibri"/>
        <family val="2"/>
        <scheme val="minor"/>
      </rPr>
      <t>]</t>
    </r>
  </si>
  <si>
    <r>
      <t xml:space="preserve">die kürzeste maßgebende Regendauer, in Minuten, (min), für die Bemessung der Entwässerung außerhalb der Gebäude nach (DWA-A 118:2006, Tabelle 4)wird nicht berücksitigt es wird gerechnet mit </t>
    </r>
    <r>
      <rPr>
        <b/>
        <sz val="12"/>
        <color theme="1"/>
        <rFont val="Calibri"/>
        <family val="2"/>
        <scheme val="minor"/>
      </rPr>
      <t>D = 5 min</t>
    </r>
    <r>
      <rPr>
        <sz val="12"/>
        <color theme="1"/>
        <rFont val="Calibri"/>
        <family val="2"/>
        <scheme val="minor"/>
      </rPr>
      <t xml:space="preserve"> für einen Berechnungsregen, dessen Jährlichkeit einmal in zwei Jahren nicht unterschritten werden darf</t>
    </r>
  </si>
  <si>
    <t>D</t>
  </si>
  <si>
    <t>die zurückzuhaltende Regenwassermenge</t>
  </si>
  <si>
    <r>
      <t>Für die Differenz der auf der befestigten Fläche des Grundstücks anfallenden Regenwassermenge, V</t>
    </r>
    <r>
      <rPr>
        <vertAlign val="subscript"/>
        <sz val="12"/>
        <color theme="1"/>
        <rFont val="Calibri"/>
        <family val="2"/>
        <scheme val="minor"/>
      </rPr>
      <t>Rück</t>
    </r>
    <r>
      <rPr>
        <sz val="12"/>
        <color theme="1"/>
        <rFont val="Calibri"/>
        <family val="2"/>
        <scheme val="minor"/>
      </rPr>
      <t xml:space="preserve"> in m</t>
    </r>
    <r>
      <rPr>
        <vertAlign val="superscript"/>
        <sz val="12"/>
        <color theme="1"/>
        <rFont val="Calibri"/>
        <family val="2"/>
        <scheme val="minor"/>
      </rPr>
      <t>3</t>
    </r>
    <r>
      <rPr>
        <sz val="12"/>
        <color theme="1"/>
        <rFont val="Calibri"/>
        <family val="2"/>
        <scheme val="minor"/>
      </rPr>
      <t>, zwischen dem mindestens 30-jährigen Regenereignis und dem 2-jährigen Berechnungsregen muss der Nachweis für eine schadlose Überflutung des Grundstücks erbracht werden. Ist ein außergewöhnliches Maß an Sicherheit erforderlich, ist eine Jährlichkeit des Berechnungsregens größer als 30 a zu wählen. Die unschädliche Überflutung kann auf der Fläche des eigenen Grundstückes, z. B. durch Hochborde oder Mulden, wenn keine Menschen, Tiere oder Sachgüter gefährdet sind, oder über andere Rückhalteräume, wie Rückhaltebecken, erfolgen, soweit die Niederschlagswasserableitung nicht auf andere Weise sichergestellt ist. Der nachfolgende Überflutungsnachweis ist in Abhängigkeit von den örtlichen Verhältnissen ggf. auch für Teile der Entwässerungsanlage (z. B. an den Entspannungspunkten) zu führen.</t>
    </r>
  </si>
  <si>
    <t>Überflutungsnachweis für Flächen unterhalb der Rückstauebene  die keine Gefährdung für Gebäude und Sachwerte haben</t>
  </si>
  <si>
    <r>
      <t>[m</t>
    </r>
    <r>
      <rPr>
        <b/>
        <vertAlign val="superscript"/>
        <sz val="12"/>
        <rFont val="Calibri"/>
        <family val="2"/>
        <scheme val="minor"/>
      </rPr>
      <t>3</t>
    </r>
    <r>
      <rPr>
        <b/>
        <sz val="12"/>
        <rFont val="Calibri"/>
        <family val="2"/>
        <scheme val="minor"/>
      </rPr>
      <t>/h]</t>
    </r>
  </si>
  <si>
    <r>
      <t>Q</t>
    </r>
    <r>
      <rPr>
        <b/>
        <vertAlign val="subscript"/>
        <sz val="12"/>
        <color theme="1"/>
        <rFont val="Calibri"/>
        <family val="2"/>
        <scheme val="minor"/>
      </rPr>
      <t xml:space="preserve">R </t>
    </r>
    <r>
      <rPr>
        <b/>
        <sz val="12"/>
        <color theme="1"/>
        <rFont val="Calibri"/>
        <family val="2"/>
        <scheme val="minor"/>
      </rPr>
      <t>[l/s]</t>
    </r>
  </si>
  <si>
    <r>
      <t>r</t>
    </r>
    <r>
      <rPr>
        <b/>
        <vertAlign val="subscript"/>
        <sz val="12"/>
        <color theme="1"/>
        <rFont val="Calibri"/>
        <family val="2"/>
        <scheme val="minor"/>
      </rPr>
      <t xml:space="preserve">(2,5) </t>
    </r>
    <r>
      <rPr>
        <b/>
        <sz val="12"/>
        <color theme="1"/>
        <rFont val="Calibri"/>
        <family val="2"/>
        <scheme val="minor"/>
      </rPr>
      <t>[l/(s*ha)]</t>
    </r>
  </si>
  <si>
    <r>
      <t>Q</t>
    </r>
    <r>
      <rPr>
        <b/>
        <vertAlign val="subscript"/>
        <sz val="12"/>
        <color theme="1"/>
        <rFont val="Calibri"/>
        <family val="2"/>
        <scheme val="minor"/>
      </rPr>
      <t xml:space="preserve">3 </t>
    </r>
    <r>
      <rPr>
        <b/>
        <sz val="12"/>
        <color theme="1"/>
        <rFont val="Calibri"/>
        <family val="2"/>
        <scheme val="minor"/>
      </rPr>
      <t>[l/s]</t>
    </r>
  </si>
  <si>
    <r>
      <t>A [m</t>
    </r>
    <r>
      <rPr>
        <b/>
        <vertAlign val="superscript"/>
        <sz val="12"/>
        <color theme="1"/>
        <rFont val="Calibri"/>
        <family val="2"/>
        <scheme val="minor"/>
      </rPr>
      <t>2</t>
    </r>
    <r>
      <rPr>
        <b/>
        <sz val="12"/>
        <color theme="1"/>
        <rFont val="Calibri"/>
        <family val="2"/>
        <scheme val="minor"/>
      </rPr>
      <t>]</t>
    </r>
  </si>
  <si>
    <r>
      <t>C</t>
    </r>
    <r>
      <rPr>
        <b/>
        <vertAlign val="subscript"/>
        <sz val="12"/>
        <color theme="1"/>
        <rFont val="Calibri"/>
        <family val="2"/>
        <scheme val="minor"/>
      </rPr>
      <t>3</t>
    </r>
  </si>
  <si>
    <t xml:space="preserve"> b [m]</t>
  </si>
  <si>
    <t>a [m]</t>
  </si>
  <si>
    <t>Art der Entwässerungsfläche</t>
  </si>
  <si>
    <r>
      <t>Q</t>
    </r>
    <r>
      <rPr>
        <b/>
        <vertAlign val="subscript"/>
        <sz val="12"/>
        <color theme="1"/>
        <rFont val="Calibri"/>
        <family val="2"/>
        <scheme val="minor"/>
      </rPr>
      <t xml:space="preserve">2 </t>
    </r>
    <r>
      <rPr>
        <b/>
        <sz val="12"/>
        <color theme="1"/>
        <rFont val="Calibri"/>
        <family val="2"/>
        <scheme val="minor"/>
      </rPr>
      <t>[l/s]</t>
    </r>
  </si>
  <si>
    <r>
      <t>C</t>
    </r>
    <r>
      <rPr>
        <b/>
        <vertAlign val="subscript"/>
        <sz val="12"/>
        <color theme="1"/>
        <rFont val="Calibri"/>
        <family val="2"/>
        <scheme val="minor"/>
      </rPr>
      <t>2</t>
    </r>
  </si>
  <si>
    <r>
      <t>Q</t>
    </r>
    <r>
      <rPr>
        <b/>
        <vertAlign val="subscript"/>
        <sz val="12"/>
        <color theme="1"/>
        <rFont val="Calibri"/>
        <family val="2"/>
        <scheme val="minor"/>
      </rPr>
      <t xml:space="preserve">1 </t>
    </r>
    <r>
      <rPr>
        <b/>
        <sz val="12"/>
        <color theme="1"/>
        <rFont val="Calibri"/>
        <family val="2"/>
        <scheme val="minor"/>
      </rPr>
      <t>[l/s]</t>
    </r>
  </si>
  <si>
    <r>
      <t>C</t>
    </r>
    <r>
      <rPr>
        <b/>
        <vertAlign val="subscript"/>
        <sz val="12"/>
        <color theme="1"/>
        <rFont val="Calibri"/>
        <family val="2"/>
        <scheme val="minor"/>
      </rPr>
      <t>1</t>
    </r>
  </si>
  <si>
    <t>Flächenname 1</t>
  </si>
  <si>
    <r>
      <t>Q</t>
    </r>
    <r>
      <rPr>
        <b/>
        <vertAlign val="subscript"/>
        <sz val="12"/>
        <color theme="1"/>
        <rFont val="Calibri"/>
        <family val="2"/>
        <scheme val="minor"/>
      </rPr>
      <t xml:space="preserve"> </t>
    </r>
    <r>
      <rPr>
        <b/>
        <sz val="12"/>
        <color theme="1"/>
        <rFont val="Calibri"/>
        <family val="2"/>
        <scheme val="minor"/>
      </rPr>
      <t>[l/s]</t>
    </r>
  </si>
  <si>
    <t>Dieses Volumen muss zurückgehalten werden können ohne das ein Schaden entstehen kann.</t>
  </si>
  <si>
    <r>
      <t>V [m</t>
    </r>
    <r>
      <rPr>
        <b/>
        <vertAlign val="superscript"/>
        <sz val="12"/>
        <color theme="1"/>
        <rFont val="Calibri"/>
        <family val="2"/>
        <scheme val="minor"/>
      </rPr>
      <t>3</t>
    </r>
    <r>
      <rPr>
        <b/>
        <sz val="12"/>
        <color theme="1"/>
        <rFont val="Calibri"/>
        <family val="2"/>
        <scheme val="minor"/>
      </rPr>
      <t>]</t>
    </r>
  </si>
  <si>
    <r>
      <t>Sollen kleine Flächen (etwa 5 m</t>
    </r>
    <r>
      <rPr>
        <vertAlign val="superscript"/>
        <sz val="12"/>
        <color theme="1"/>
        <rFont val="Calibri"/>
        <family val="2"/>
        <scheme val="minor"/>
      </rPr>
      <t>2</t>
    </r>
    <r>
      <rPr>
        <sz val="12"/>
        <color theme="1"/>
        <rFont val="Calibri"/>
        <family val="2"/>
        <scheme val="minor"/>
      </rPr>
      <t>) über Rückstauverschlüsse entwässert werden, muss ein Nachweis darüber geführt werden, dass es zu keiner Überflutung kommt, solange der Rückstauverschluss geschlossen ist. Die Überflutungsprüfung ist mit mindestens dem 100-jährigen Regenereignis in 5 min (r(5,100)) durchzuführen. Für den Überflutungsnachweis ist die Berücksichtigung eines Abflussbeiwertes, C, unzulässig.</t>
    </r>
  </si>
  <si>
    <r>
      <t>Überflutungsnachweis für Flächen unterhalb der Rückstauebnene &lt; 5 m</t>
    </r>
    <r>
      <rPr>
        <b/>
        <vertAlign val="superscript"/>
        <sz val="12"/>
        <color theme="1"/>
        <rFont val="Calibri"/>
        <family val="2"/>
        <scheme val="minor"/>
      </rPr>
      <t>2</t>
    </r>
    <r>
      <rPr>
        <b/>
        <sz val="12"/>
        <color theme="1"/>
        <rFont val="Calibri"/>
        <family val="2"/>
        <scheme val="minor"/>
      </rPr>
      <t>, mit Rückstauverschlüssen</t>
    </r>
  </si>
  <si>
    <r>
      <t>r</t>
    </r>
    <r>
      <rPr>
        <b/>
        <vertAlign val="subscript"/>
        <sz val="12"/>
        <color theme="1"/>
        <rFont val="Calibri"/>
        <family val="2"/>
        <scheme val="minor"/>
      </rPr>
      <t>(5,100)</t>
    </r>
    <r>
      <rPr>
        <b/>
        <sz val="12"/>
        <color theme="1"/>
        <rFont val="Calibri"/>
        <family val="2"/>
        <scheme val="minor"/>
      </rPr>
      <t xml:space="preserve"> [l/(s*ha)]</t>
    </r>
  </si>
  <si>
    <r>
      <rPr>
        <b/>
        <sz val="12"/>
        <color theme="1"/>
        <rFont val="Calibri"/>
        <family val="2"/>
        <scheme val="minor"/>
      </rPr>
      <t xml:space="preserve">Allgemeine Regelung für Regenwasser unterhalb der Rückstauebene    </t>
    </r>
    <r>
      <rPr>
        <sz val="12"/>
        <color theme="1"/>
        <rFont val="Calibri"/>
        <family val="2"/>
        <scheme val="minor"/>
      </rPr>
      <t xml:space="preserve">                                                                                                         Es ist grundsätzlich zu prüfen, in welchem Maße Niederschlagswasser über Versickerungsanlagen (siehe DWA-A 138) abgeleitet werden kann. Das gilt auch für Flächen unterhalb der Rückstauebene. Niederschlagswasser von diesen Flächen, das keiner Versickerung oder Einleitung in ein oberirdisches Gewässer mehr zugeführt werden kann, ist mittels Abwasserhebeanlagen rückstaufrei der öffentlichen Kanalisation zuzuführen. Vom Kanalnetzbetreiber erteilte Einleitungsbegrenzungen sind zu beachten und gegebenenfalls entsprechende Rückhalteeinrichtungen (Rückhaltebecken) herzustellen. Die Rückhalteeinrichtungen müssen, sofern aus ihnen nicht über eine festgelegte Pumpenleistung die begrenzte Einleitungsmenge in die Kanalisation rückstaufrei eingeleitet wird, mit ihrer Beckenoberkante über der örtlich festgelegten Rückstauebene liegen. Rückhalteeinrichtungen dürfen nicht durch Flutung aus der Kanalisation im Rückstaufall das ermittelte Rückhaltevolumen für die Ableitung des Niederschlagwassers vom Grundstück schmälern.</t>
    </r>
  </si>
  <si>
    <r>
      <t>r</t>
    </r>
    <r>
      <rPr>
        <vertAlign val="subscript"/>
        <sz val="12"/>
        <color theme="1"/>
        <rFont val="Calibri"/>
        <family val="2"/>
        <scheme val="minor"/>
      </rPr>
      <t xml:space="preserve">(2,5) </t>
    </r>
    <r>
      <rPr>
        <sz val="12"/>
        <color theme="1"/>
        <rFont val="Calibri"/>
        <family val="2"/>
        <scheme val="minor"/>
      </rPr>
      <t>[l/(s*ha)]</t>
    </r>
  </si>
  <si>
    <r>
      <t>r</t>
    </r>
    <r>
      <rPr>
        <vertAlign val="subscript"/>
        <sz val="12"/>
        <color theme="1"/>
        <rFont val="Calibri"/>
        <family val="2"/>
        <scheme val="minor"/>
      </rPr>
      <t xml:space="preserve">(5,30) </t>
    </r>
    <r>
      <rPr>
        <sz val="12"/>
        <color theme="1"/>
        <rFont val="Calibri"/>
        <family val="2"/>
        <scheme val="minor"/>
      </rPr>
      <t>[l/(s*ha)]</t>
    </r>
  </si>
  <si>
    <r>
      <t>r</t>
    </r>
    <r>
      <rPr>
        <vertAlign val="subscript"/>
        <sz val="12"/>
        <color theme="1"/>
        <rFont val="Calibri"/>
        <family val="2"/>
        <scheme val="minor"/>
      </rPr>
      <t>(5,100)</t>
    </r>
    <r>
      <rPr>
        <sz val="12"/>
        <color theme="1"/>
        <rFont val="Calibri"/>
        <family val="2"/>
        <scheme val="minor"/>
      </rPr>
      <t xml:space="preserve"> [l/(s*ha)]</t>
    </r>
  </si>
  <si>
    <r>
      <t>r</t>
    </r>
    <r>
      <rPr>
        <b/>
        <vertAlign val="subscript"/>
        <sz val="12"/>
        <color theme="1"/>
        <rFont val="Calibri"/>
        <family val="2"/>
        <scheme val="minor"/>
      </rPr>
      <t>(D,T)</t>
    </r>
    <r>
      <rPr>
        <b/>
        <sz val="12"/>
        <color theme="1"/>
        <rFont val="Calibri"/>
        <family val="2"/>
        <scheme val="minor"/>
      </rPr>
      <t xml:space="preserve"> [l/(s*ha)]</t>
    </r>
  </si>
  <si>
    <r>
      <t>C</t>
    </r>
    <r>
      <rPr>
        <b/>
        <vertAlign val="subscript"/>
        <sz val="11"/>
        <color theme="1"/>
        <rFont val="Calibri"/>
        <family val="2"/>
        <scheme val="minor"/>
      </rPr>
      <t>S</t>
    </r>
  </si>
  <si>
    <r>
      <t>C</t>
    </r>
    <r>
      <rPr>
        <b/>
        <vertAlign val="subscript"/>
        <sz val="11"/>
        <color theme="1"/>
        <rFont val="Calibri"/>
        <family val="2"/>
        <scheme val="minor"/>
      </rPr>
      <t>M</t>
    </r>
  </si>
  <si>
    <t>Stadt</t>
  </si>
  <si>
    <r>
      <t>Not-entwässer-ung r</t>
    </r>
    <r>
      <rPr>
        <vertAlign val="subscript"/>
        <sz val="11"/>
        <color theme="1"/>
        <rFont val="Calibri"/>
        <family val="2"/>
        <scheme val="minor"/>
      </rPr>
      <t>5,100</t>
    </r>
  </si>
  <si>
    <r>
      <t>r</t>
    </r>
    <r>
      <rPr>
        <vertAlign val="subscript"/>
        <sz val="11"/>
        <color theme="1"/>
        <rFont val="Calibri"/>
        <family val="2"/>
        <scheme val="minor"/>
      </rPr>
      <t>5,30</t>
    </r>
  </si>
  <si>
    <r>
      <t>r</t>
    </r>
    <r>
      <rPr>
        <vertAlign val="subscript"/>
        <sz val="11"/>
        <color theme="1"/>
        <rFont val="Calibri"/>
        <family val="2"/>
        <scheme val="minor"/>
      </rPr>
      <t>2,5</t>
    </r>
  </si>
  <si>
    <t>l/(s*ha)</t>
  </si>
  <si>
    <t>Aachen</t>
  </si>
  <si>
    <t>Aschaffenburg</t>
  </si>
  <si>
    <t>Augsburg</t>
  </si>
  <si>
    <t>Aurich</t>
  </si>
  <si>
    <t>Bad Kissingen</t>
  </si>
  <si>
    <t>Bad Salzuflen</t>
  </si>
  <si>
    <t>Bad Tölz</t>
  </si>
  <si>
    <t>Bamberg</t>
  </si>
  <si>
    <t>Bayreuth</t>
  </si>
  <si>
    <t>Berlin</t>
  </si>
  <si>
    <t>Bielefeld</t>
  </si>
  <si>
    <t>Bocholt</t>
  </si>
  <si>
    <t>Bonn</t>
  </si>
  <si>
    <t>Braunschweig</t>
  </si>
  <si>
    <t>Bremen</t>
  </si>
  <si>
    <t>Bremerhaven</t>
  </si>
  <si>
    <t>Chemnitz</t>
  </si>
  <si>
    <t>Cottbus</t>
  </si>
  <si>
    <t>Cuxhaven</t>
  </si>
  <si>
    <t>Dessau</t>
  </si>
  <si>
    <t>Dortmund</t>
  </si>
  <si>
    <t>Dresden</t>
  </si>
  <si>
    <t>Duisburg</t>
  </si>
  <si>
    <t>Düsseldorf</t>
  </si>
  <si>
    <t>Eisenach</t>
  </si>
  <si>
    <t>Emden</t>
  </si>
  <si>
    <t>Erfurt</t>
  </si>
  <si>
    <t>Erlangen</t>
  </si>
  <si>
    <t>Essen</t>
  </si>
  <si>
    <t>Frankfurt/Main</t>
  </si>
  <si>
    <t>Garmisch-Partenkirchen</t>
  </si>
  <si>
    <t>Gera</t>
  </si>
  <si>
    <t>Göppingen</t>
  </si>
  <si>
    <t>Görlitz</t>
  </si>
  <si>
    <t>Göttingen</t>
  </si>
  <si>
    <t>Halle/Saale</t>
  </si>
  <si>
    <t>Hamburg</t>
  </si>
  <si>
    <t>Hamm</t>
  </si>
  <si>
    <t>Hanau</t>
  </si>
  <si>
    <t>Hannover</t>
  </si>
  <si>
    <t>Heidelberg</t>
  </si>
  <si>
    <t>Heilbronn</t>
  </si>
  <si>
    <t>Helmstedt</t>
  </si>
  <si>
    <t>Hildesheim</t>
  </si>
  <si>
    <t>Ingolstadt</t>
  </si>
  <si>
    <t>Kaiserslautern</t>
  </si>
  <si>
    <t>Karlsruhe</t>
  </si>
  <si>
    <t>Kassel</t>
  </si>
  <si>
    <t>Kiel</t>
  </si>
  <si>
    <t>Koblenz</t>
  </si>
  <si>
    <t>Köln</t>
  </si>
  <si>
    <t>Konstanz</t>
  </si>
  <si>
    <t>Leipzig</t>
  </si>
  <si>
    <t>Lindau</t>
  </si>
  <si>
    <t>Lingen</t>
  </si>
  <si>
    <t>Lübeck</t>
  </si>
  <si>
    <t>Lüdenscheid</t>
  </si>
  <si>
    <t>Magdeburg</t>
  </si>
  <si>
    <t>Mainz</t>
  </si>
  <si>
    <t>Mannheim</t>
  </si>
  <si>
    <t>Minden</t>
  </si>
  <si>
    <t>Mönchen-gladbach</t>
  </si>
  <si>
    <t>München</t>
  </si>
  <si>
    <t>Münster</t>
  </si>
  <si>
    <t>Neubranden-burg</t>
  </si>
  <si>
    <t>Neustadt/ Weinstraße</t>
  </si>
  <si>
    <t>Nürnberg</t>
  </si>
  <si>
    <t>Oberstdorf</t>
  </si>
  <si>
    <t>Osnabrück</t>
  </si>
  <si>
    <t>Paderborn</t>
  </si>
  <si>
    <t>Passau</t>
  </si>
  <si>
    <t>Pforzheim</t>
  </si>
  <si>
    <t>Pirmasens</t>
  </si>
  <si>
    <t>Regensburg</t>
  </si>
  <si>
    <t>Rosenheim</t>
  </si>
  <si>
    <t>Rostock</t>
  </si>
  <si>
    <t>Rüsselsheim</t>
  </si>
  <si>
    <t>Saarbrücken</t>
  </si>
  <si>
    <t>Schweinfurt</t>
  </si>
  <si>
    <t>Schwerin</t>
  </si>
  <si>
    <t>Siegen</t>
  </si>
  <si>
    <t>Solingen</t>
  </si>
  <si>
    <t>Speyer</t>
  </si>
  <si>
    <t>Stuttgart</t>
  </si>
  <si>
    <t>Trier</t>
  </si>
  <si>
    <t>Ulm</t>
  </si>
  <si>
    <t>Villingen-Schwenningen</t>
  </si>
  <si>
    <t>Willingen/ Upland</t>
  </si>
  <si>
    <t>Wittenberge</t>
  </si>
  <si>
    <t>Wuppertal</t>
  </si>
  <si>
    <t>Würzburg</t>
  </si>
  <si>
    <t>Zwickau</t>
  </si>
  <si>
    <t>Q</t>
  </si>
  <si>
    <t>H</t>
  </si>
  <si>
    <t>Benötigte Förderhöhe in [m]</t>
  </si>
  <si>
    <t>Druckhöhenverluste der Rohrleitung [m]</t>
  </si>
  <si>
    <t>Druckhöhenverluste der Armaturen und Einbauteilen [m]</t>
  </si>
  <si>
    <t>Geodätischer Höhenunterschied [m]</t>
  </si>
  <si>
    <t>λ</t>
  </si>
  <si>
    <t>Lamda; Rohrreibungsbeiwert</t>
  </si>
  <si>
    <t>ζ</t>
  </si>
  <si>
    <t>Zeta; Verlustbeiwert</t>
  </si>
  <si>
    <t>v</t>
  </si>
  <si>
    <t>d</t>
  </si>
  <si>
    <t>Innendurchmesser in [m]</t>
  </si>
  <si>
    <t>l</t>
  </si>
  <si>
    <t>Länge der Rohrleitung [m]</t>
  </si>
  <si>
    <t>g</t>
  </si>
  <si>
    <t>Rohrrauigkeit [mm]</t>
  </si>
  <si>
    <t>Σζ</t>
  </si>
  <si>
    <t xml:space="preserve">Anlagenkennlinie </t>
  </si>
  <si>
    <t>Re</t>
  </si>
  <si>
    <t>Q [m3/h]</t>
  </si>
  <si>
    <t>Htot [m]</t>
  </si>
  <si>
    <t>Hgeo [m]</t>
  </si>
  <si>
    <t>HV [m]</t>
  </si>
  <si>
    <t>v [m/s]</t>
  </si>
  <si>
    <t>d [m]</t>
  </si>
  <si>
    <t/>
  </si>
  <si>
    <t>Formel 1</t>
  </si>
  <si>
    <t>Formel 2</t>
  </si>
  <si>
    <t>Iterationstabelle Lamda</t>
  </si>
  <si>
    <t>Lambda</t>
  </si>
  <si>
    <t>Differenz</t>
  </si>
  <si>
    <t>Htot</t>
  </si>
  <si>
    <t>0,7 - 2,3</t>
  </si>
  <si>
    <t>Spalte2</t>
  </si>
  <si>
    <t>Spalte3</t>
  </si>
  <si>
    <t>Spalte4</t>
  </si>
  <si>
    <t>Spalte5</t>
  </si>
  <si>
    <t>-</t>
  </si>
  <si>
    <t>Betriebspunkt</t>
  </si>
  <si>
    <t>Inhalt [l/m]</t>
  </si>
  <si>
    <t>k/d Abwasser</t>
  </si>
  <si>
    <t xml:space="preserve">k/d </t>
  </si>
  <si>
    <t>NN [m]</t>
  </si>
  <si>
    <t>Ø -</t>
  </si>
  <si>
    <t>Bauart -</t>
  </si>
  <si>
    <t>2 D</t>
  </si>
  <si>
    <t>3 D</t>
  </si>
  <si>
    <t>DN</t>
  </si>
  <si>
    <t>R</t>
  </si>
  <si>
    <t>Durchmesser</t>
  </si>
  <si>
    <t>Rohrbogenmaß</t>
  </si>
  <si>
    <t>2*x</t>
  </si>
  <si>
    <t>https://www.youtube.com/watch?v=uGpPJauKHeY&amp;ab_channel=AndreasGross</t>
  </si>
  <si>
    <t>Biegeradius</t>
  </si>
  <si>
    <t>E</t>
  </si>
  <si>
    <t>Z</t>
  </si>
  <si>
    <t>Z+E*0,5</t>
  </si>
  <si>
    <t>Stahlrohrbogen</t>
  </si>
  <si>
    <t xml:space="preserve">Graugussrohrbogen </t>
  </si>
  <si>
    <t>x</t>
  </si>
  <si>
    <t>SML</t>
  </si>
  <si>
    <t>DIN EN 558</t>
  </si>
  <si>
    <t>[mm]</t>
  </si>
  <si>
    <t>Druckleitung die Angaben sind aus der Berechnung oben</t>
  </si>
  <si>
    <t>Tab8</t>
  </si>
  <si>
    <t>Tab9</t>
  </si>
  <si>
    <t>Tab29</t>
  </si>
  <si>
    <t>DN2</t>
  </si>
  <si>
    <t>Gesamtbreite Pumpe und DN2</t>
  </si>
  <si>
    <t>m</t>
  </si>
  <si>
    <t>Mindestschachtdurchmesser</t>
  </si>
  <si>
    <t>Auswahl Nutzvolumen Spitzenlastbetrieb</t>
  </si>
  <si>
    <t>Auswahl Nutzvolumen Reservepumpenbetrieb</t>
  </si>
  <si>
    <t>2*(LT/2+R+P/2+DN2)</t>
  </si>
  <si>
    <t>Gesamt</t>
  </si>
  <si>
    <t>LT und R bekannt und 2 Pumpen</t>
  </si>
  <si>
    <t>Schachtdurchmesser  LT und R 2Pumpen</t>
  </si>
  <si>
    <t>Prüfung 1</t>
  </si>
  <si>
    <t>Prüfung 2</t>
  </si>
  <si>
    <t>Für LT 2*da, für R 3*di</t>
  </si>
  <si>
    <t>h bei Rohrvolumen</t>
  </si>
  <si>
    <t>h bei Reserve</t>
  </si>
  <si>
    <t>h bei Spitzen</t>
  </si>
  <si>
    <t>Bedingung 2 Pumpen+Spitzenlastbetrieb</t>
  </si>
  <si>
    <r>
      <t>Fläche di [m</t>
    </r>
    <r>
      <rPr>
        <vertAlign val="superscript"/>
        <sz val="11"/>
        <rFont val="Calibri"/>
        <family val="2"/>
        <scheme val="minor"/>
      </rPr>
      <t>2</t>
    </r>
    <r>
      <rPr>
        <sz val="11"/>
        <rFont val="Calibri"/>
        <family val="2"/>
        <scheme val="minor"/>
      </rPr>
      <t>]</t>
    </r>
  </si>
  <si>
    <t>Bedingung 1 oder 2 Pumpen Reservepumpenbetrieb</t>
  </si>
  <si>
    <t>PE HD 100 DIN EN 12201-2 SDR17</t>
  </si>
  <si>
    <r>
      <rPr>
        <sz val="8.5"/>
        <rFont val="Arial"/>
        <family val="2"/>
      </rPr>
      <t>System I</t>
    </r>
  </si>
  <si>
    <r>
      <rPr>
        <sz val="8.5"/>
        <rFont val="Arial"/>
        <family val="2"/>
      </rPr>
      <t>System II</t>
    </r>
  </si>
  <si>
    <r>
      <rPr>
        <sz val="8.5"/>
        <rFont val="Arial"/>
        <family val="2"/>
      </rPr>
      <t>System III</t>
    </r>
  </si>
  <si>
    <r>
      <rPr>
        <sz val="8.5"/>
        <rFont val="Arial"/>
        <family val="2"/>
      </rPr>
      <t>System IV</t>
    </r>
  </si>
  <si>
    <r>
      <rPr>
        <sz val="8.5"/>
        <rFont val="Arial"/>
        <family val="2"/>
      </rPr>
      <t xml:space="preserve">DU
</t>
    </r>
    <r>
      <rPr>
        <sz val="8.5"/>
        <rFont val="Arial"/>
        <family val="2"/>
      </rPr>
      <t>(Vs)</t>
    </r>
  </si>
  <si>
    <r>
      <rPr>
        <sz val="8.5"/>
        <rFont val="Arial"/>
        <family val="2"/>
      </rPr>
      <t>0,5</t>
    </r>
  </si>
  <si>
    <r>
      <rPr>
        <sz val="8.5"/>
        <rFont val="Arial"/>
        <family val="2"/>
      </rPr>
      <t>0,3</t>
    </r>
  </si>
  <si>
    <r>
      <rPr>
        <sz val="8.5"/>
        <rFont val="Arial"/>
        <family val="2"/>
      </rPr>
      <t>0,6</t>
    </r>
  </si>
  <si>
    <r>
      <rPr>
        <sz val="8.5"/>
        <rFont val="Arial"/>
        <family val="2"/>
      </rPr>
      <t>0,4</t>
    </r>
  </si>
  <si>
    <r>
      <rPr>
        <sz val="8.5"/>
        <rFont val="Arial"/>
        <family val="2"/>
      </rPr>
      <t>0,8</t>
    </r>
  </si>
  <si>
    <r>
      <rPr>
        <sz val="8.5"/>
        <rFont val="Arial"/>
        <family val="2"/>
      </rPr>
      <t>1,3</t>
    </r>
  </si>
  <si>
    <r>
      <rPr>
        <sz val="8.5"/>
        <rFont val="Arial"/>
        <family val="2"/>
      </rPr>
      <t>0,2</t>
    </r>
  </si>
  <si>
    <r>
      <rPr>
        <sz val="8.5"/>
        <rFont val="Arial"/>
        <family val="2"/>
      </rPr>
      <t>1,5</t>
    </r>
  </si>
  <si>
    <r>
      <rPr>
        <sz val="8.5"/>
        <rFont val="Arial"/>
        <family val="2"/>
      </rPr>
      <t>1,2</t>
    </r>
  </si>
  <si>
    <r>
      <rPr>
        <sz val="8.5"/>
        <rFont val="Arial"/>
        <family val="2"/>
      </rPr>
      <t>1,0</t>
    </r>
  </si>
  <si>
    <r>
      <rPr>
        <sz val="8.5"/>
        <rFont val="Arial"/>
        <family val="2"/>
      </rPr>
      <t>1,8</t>
    </r>
  </si>
  <si>
    <r>
      <rPr>
        <sz val="8.5"/>
        <rFont val="Arial"/>
        <family val="2"/>
      </rPr>
      <t>2,0</t>
    </r>
  </si>
  <si>
    <r>
      <rPr>
        <sz val="8.5"/>
        <rFont val="Arial"/>
        <family val="2"/>
      </rPr>
      <t>2,5</t>
    </r>
  </si>
  <si>
    <r>
      <rPr>
        <sz val="8.5"/>
        <rFont val="Arial"/>
        <family val="2"/>
      </rPr>
      <t>0,9</t>
    </r>
  </si>
  <si>
    <r>
      <rPr>
        <sz val="8.5"/>
        <rFont val="Arial"/>
        <family val="2"/>
      </rPr>
      <t>—</t>
    </r>
  </si>
  <si>
    <r>
      <rPr>
        <sz val="8.5"/>
        <rFont val="Arial"/>
        <family val="2"/>
      </rPr>
      <t xml:space="preserve">*  je Person
</t>
    </r>
    <r>
      <rPr>
        <sz val="8.5"/>
        <rFont val="Arial"/>
        <family val="2"/>
      </rPr>
      <t xml:space="preserve">**  nicht zugelassen
</t>
    </r>
    <r>
      <rPr>
        <sz val="8.5"/>
        <rFont val="Arial"/>
        <family val="2"/>
      </rPr>
      <t xml:space="preserve">***  abhangig vom Klosett-Typ (gultig nur fur Absaugeklosetts)
</t>
    </r>
    <r>
      <rPr>
        <sz val="8.5"/>
        <rFont val="Arial"/>
        <family val="2"/>
      </rPr>
      <t>—  nicht angewendet oder keine Daten verfugbar</t>
    </r>
  </si>
  <si>
    <t>Steht in der 12056-2 nichts aber in der 1986-100</t>
  </si>
  <si>
    <t>DIN EN 12056 -2 (2001/01)</t>
  </si>
  <si>
    <r>
      <t>Außendurchmesser d</t>
    </r>
    <r>
      <rPr>
        <b/>
        <vertAlign val="subscript"/>
        <sz val="12"/>
        <rFont val="Calibri"/>
        <family val="2"/>
        <scheme val="minor"/>
      </rPr>
      <t>a</t>
    </r>
    <r>
      <rPr>
        <b/>
        <sz val="12"/>
        <rFont val="Calibri"/>
        <family val="2"/>
        <scheme val="minor"/>
      </rPr>
      <t xml:space="preserve"> [mm]</t>
    </r>
  </si>
  <si>
    <r>
      <t>Erdbeschleunigung 9,81 [m/s</t>
    </r>
    <r>
      <rPr>
        <b/>
        <vertAlign val="superscript"/>
        <sz val="12"/>
        <rFont val="Calibri"/>
        <family val="2"/>
        <scheme val="minor"/>
      </rPr>
      <t>2</t>
    </r>
    <r>
      <rPr>
        <b/>
        <sz val="12"/>
        <rFont val="Calibri"/>
        <family val="2"/>
        <scheme val="minor"/>
      </rPr>
      <t>]</t>
    </r>
  </si>
  <si>
    <r>
      <t>k</t>
    </r>
    <r>
      <rPr>
        <b/>
        <vertAlign val="subscript"/>
        <sz val="12"/>
        <rFont val="Calibri"/>
        <family val="2"/>
        <scheme val="minor"/>
      </rPr>
      <t>B</t>
    </r>
  </si>
  <si>
    <r>
      <t>H</t>
    </r>
    <r>
      <rPr>
        <b/>
        <vertAlign val="subscript"/>
        <sz val="12"/>
        <rFont val="Calibri"/>
        <family val="2"/>
        <scheme val="minor"/>
      </rPr>
      <t>V,R</t>
    </r>
    <r>
      <rPr>
        <b/>
        <sz val="12"/>
        <rFont val="Calibri"/>
        <family val="2"/>
        <scheme val="minor"/>
      </rPr>
      <t>[m]</t>
    </r>
  </si>
  <si>
    <r>
      <t>H</t>
    </r>
    <r>
      <rPr>
        <b/>
        <vertAlign val="subscript"/>
        <sz val="12"/>
        <rFont val="Calibri"/>
        <family val="2"/>
        <scheme val="minor"/>
      </rPr>
      <t>V,A</t>
    </r>
    <r>
      <rPr>
        <b/>
        <sz val="12"/>
        <rFont val="Calibri"/>
        <family val="2"/>
        <scheme val="minor"/>
      </rPr>
      <t>[m]</t>
    </r>
  </si>
  <si>
    <r>
      <t>ΣH</t>
    </r>
    <r>
      <rPr>
        <b/>
        <vertAlign val="subscript"/>
        <sz val="12"/>
        <rFont val="Calibri"/>
        <family val="2"/>
      </rPr>
      <t>V,A</t>
    </r>
    <r>
      <rPr>
        <b/>
        <sz val="12"/>
        <rFont val="Calibri"/>
        <family val="2"/>
      </rPr>
      <t>[m]</t>
    </r>
  </si>
  <si>
    <r>
      <t>H</t>
    </r>
    <r>
      <rPr>
        <b/>
        <vertAlign val="subscript"/>
        <sz val="12"/>
        <rFont val="Calibri"/>
        <family val="2"/>
        <scheme val="minor"/>
      </rPr>
      <t>V</t>
    </r>
    <r>
      <rPr>
        <b/>
        <sz val="12"/>
        <rFont val="Calibri"/>
        <family val="2"/>
        <scheme val="minor"/>
      </rPr>
      <t xml:space="preserve"> [m]</t>
    </r>
  </si>
  <si>
    <r>
      <t>H</t>
    </r>
    <r>
      <rPr>
        <b/>
        <vertAlign val="subscript"/>
        <sz val="12"/>
        <rFont val="Calibri"/>
        <family val="2"/>
        <scheme val="minor"/>
      </rPr>
      <t>geo</t>
    </r>
    <r>
      <rPr>
        <b/>
        <sz val="12"/>
        <rFont val="Calibri"/>
        <family val="2"/>
        <scheme val="minor"/>
      </rPr>
      <t xml:space="preserve"> [m]</t>
    </r>
  </si>
  <si>
    <r>
      <t>H</t>
    </r>
    <r>
      <rPr>
        <b/>
        <vertAlign val="subscript"/>
        <sz val="12"/>
        <rFont val="Calibri"/>
        <family val="2"/>
        <scheme val="minor"/>
      </rPr>
      <t>tot</t>
    </r>
    <r>
      <rPr>
        <b/>
        <sz val="12"/>
        <rFont val="Calibri"/>
        <family val="2"/>
        <scheme val="minor"/>
      </rPr>
      <t>[m]</t>
    </r>
  </si>
  <si>
    <t>Nennweite DIN 1986-100 (2016/09)</t>
  </si>
  <si>
    <t>Calculation of wastewater discharge according to DIN EN 12056-2 (01/2001)</t>
  </si>
  <si>
    <t>Calculation of rainwater runoff in accordance with DIN1986-100(12/2016) for properties with a paved area of up to 60 ha</t>
  </si>
  <si>
    <t>Calculation of the delivery head according to DIN EN12056-4 (01/2001), useful volume, shaft diameter and shaft depth</t>
  </si>
  <si>
    <t>Project</t>
  </si>
  <si>
    <t>Location</t>
  </si>
  <si>
    <t>Calculation of wastewater discharge DIN EN 12056-2 (01/2001)</t>
  </si>
  <si>
    <t>Total wastewater discharge</t>
  </si>
  <si>
    <t xml:space="preserve">Waste water flow </t>
  </si>
  <si>
    <t>Permanent drain</t>
  </si>
  <si>
    <t>Pump flow rate</t>
  </si>
  <si>
    <t>Irregular use, e.g. in residential buildings, retirement homes, guest houses, offices</t>
  </si>
  <si>
    <t>Regular use, e.g. in hospitals, schools, restaurants, hotels</t>
  </si>
  <si>
    <t>Frequent use, e.g. in public toilets and/or showers</t>
  </si>
  <si>
    <t>Special use, e.g. laboratory</t>
  </si>
  <si>
    <t>Type of building and use</t>
  </si>
  <si>
    <t xml:space="preserve">Washbasin, bidet </t>
  </si>
  <si>
    <t xml:space="preserve">Shower without stopper </t>
  </si>
  <si>
    <t xml:space="preserve">Shower with stopper </t>
  </si>
  <si>
    <t xml:space="preserve">Single urinal with cistern </t>
  </si>
  <si>
    <t xml:space="preserve">Single urinal with flush valve </t>
  </si>
  <si>
    <t xml:space="preserve">Stand urinal </t>
  </si>
  <si>
    <t xml:space="preserve">Urinal without flushing (DIN1986-100 2016/12) </t>
  </si>
  <si>
    <t xml:space="preserve">Bathtub </t>
  </si>
  <si>
    <t>Kitchen sink and dishwasher with common odor trap (DIN1986-100 2016/12)</t>
  </si>
  <si>
    <t xml:space="preserve">Kitchen sink, sink unit </t>
  </si>
  <si>
    <t xml:space="preserve">Dishwasher </t>
  </si>
  <si>
    <t xml:space="preserve">Washing machine up to 8 kg </t>
  </si>
  <si>
    <t xml:space="preserve">Washing machine up to 12 kg </t>
  </si>
  <si>
    <t>WC with 4.0/4.5 l cistern</t>
  </si>
  <si>
    <t xml:space="preserve">WC with 6.0 l cistern/pressure flush valve </t>
  </si>
  <si>
    <t>WC with 7.5 l cistern/flush valve 2.0 see note</t>
  </si>
  <si>
    <t xml:space="preserve">WC with 9.0 l cistern/pressure flush valve </t>
  </si>
  <si>
    <t xml:space="preserve">Floor drain DN 50 </t>
  </si>
  <si>
    <r>
      <rPr>
        <sz val="8.5"/>
        <rFont val="Arial"/>
        <family val="2"/>
      </rPr>
      <t>Floor drain DN 70</t>
    </r>
  </si>
  <si>
    <t xml:space="preserve">Floor drain DN 100 </t>
  </si>
  <si>
    <r>
      <rPr>
        <sz val="8"/>
        <rFont val="Calibri"/>
        <family val="2"/>
        <scheme val="minor"/>
      </rPr>
      <t xml:space="preserve"> </t>
    </r>
    <r>
      <rPr>
        <sz val="8"/>
        <color theme="1" tint="0.34998626667073579"/>
        <rFont val="Calibri"/>
        <family val="2"/>
        <scheme val="minor"/>
      </rPr>
      <t>In system III, the values</t>
    </r>
    <r>
      <rPr>
        <sz val="8"/>
        <rFont val="Calibri"/>
        <family val="2"/>
        <scheme val="minor"/>
      </rPr>
      <t xml:space="preserve"> </t>
    </r>
    <r>
      <rPr>
        <sz val="8"/>
        <color theme="1"/>
        <rFont val="Calibri"/>
        <family val="2"/>
        <scheme val="minor"/>
      </rPr>
      <t>depend on the toilet type (valid only for drainage toilets) 4 l (1.2 to 1.7),7.5 l (1.4 to 1.8),9 l (1.6 to 2.0) the values can be changed in the form.                                                                                                                                                                                                                                                                                                                                                                                                                                NOTE from DIN 1986-100 (2016/ 12)Toilets with 7.5 l flushes are not common within the scope of this standard. For this reason, no nominal diameter for the individual connection pipe has been assigned to the drainage object in the table. The same connection values can be used for toilet systems with flush valves as for systems with cisterns. Due to current developments, design rules for lavatory systems with a flush water volume of 4.0 l to 4.5 l have been included in System I. Tests have shown that lavatory systems suitable for 4.0 l to 4.5 l and for 6 l flush water volume can be connected with nominal widths of DN 80 (di,min = 75 mm) or DN 90 (di,min = 79 mm).</t>
    </r>
  </si>
  <si>
    <t>Total</t>
  </si>
  <si>
    <t>Select building type and use</t>
  </si>
  <si>
    <t>Drainage object System I DIN EN 12056-2</t>
  </si>
  <si>
    <t>Drainage object System II DIN EN 12056-2</t>
  </si>
  <si>
    <t>Drainage object System III DIN EN 12056-2</t>
  </si>
  <si>
    <t>Drainage object System IV DIN EN 12056-2</t>
  </si>
  <si>
    <r>
      <rPr>
        <sz val="8.5"/>
        <rFont val="Arial"/>
        <family val="2"/>
      </rPr>
      <t>Washbasin, bidet</t>
    </r>
  </si>
  <si>
    <t>Shower without stopper</t>
  </si>
  <si>
    <t>Shower with stopper</t>
  </si>
  <si>
    <t>Single urinal with cistern</t>
  </si>
  <si>
    <t>Urinal with flush valve</t>
  </si>
  <si>
    <r>
      <rPr>
        <sz val="8.5"/>
        <rFont val="Arial"/>
        <family val="2"/>
      </rPr>
      <t>Stand urinal</t>
    </r>
  </si>
  <si>
    <t xml:space="preserve">Urinal without flushing (DIN 1986-100 2016/12) </t>
  </si>
  <si>
    <r>
      <rPr>
        <sz val="8.5"/>
        <rFont val="Arial"/>
        <family val="2"/>
      </rPr>
      <t>Bathtub</t>
    </r>
  </si>
  <si>
    <t>Kitchen sink and dishwasher with common odor trap DIN 1986-100 2016/12)</t>
  </si>
  <si>
    <t>Kitchen sink</t>
  </si>
  <si>
    <t>Dishwasher (household)</t>
  </si>
  <si>
    <r>
      <rPr>
        <sz val="8.5"/>
        <rFont val="Arial"/>
        <family val="2"/>
      </rPr>
      <t>Washing machine up to 6 kg</t>
    </r>
  </si>
  <si>
    <r>
      <rPr>
        <sz val="8.5"/>
        <rFont val="Arial"/>
        <family val="2"/>
      </rPr>
      <t>Washing machine up to 12 kg</t>
    </r>
  </si>
  <si>
    <t>WC with 4.0 l cistern</t>
  </si>
  <si>
    <t>WC with 6.0 l cistern</t>
  </si>
  <si>
    <t>WC with 7.5 l cistern</t>
  </si>
  <si>
    <t>WC with 9.0 l cistern</t>
  </si>
  <si>
    <r>
      <rPr>
        <sz val="8.5"/>
        <rFont val="Arial"/>
        <family val="2"/>
      </rPr>
      <t>Floor drain DN 50</t>
    </r>
  </si>
  <si>
    <r>
      <rPr>
        <sz val="8.5"/>
        <rFont val="Arial"/>
        <family val="2"/>
      </rPr>
      <t>Floor drain DN 100</t>
    </r>
  </si>
  <si>
    <r>
      <rPr>
        <sz val="8.5"/>
        <rFont val="Arial"/>
        <family val="2"/>
      </rPr>
      <t>Drainage object</t>
    </r>
  </si>
  <si>
    <r>
      <t>If the value of the calculated wastewater discharge</t>
    </r>
    <r>
      <rPr>
        <vertAlign val="subscript"/>
        <sz val="12"/>
        <color rgb="FFFF0000"/>
        <rFont val="Calibri"/>
        <family val="2"/>
        <scheme val="minor"/>
      </rPr>
      <t>Qww</t>
    </r>
    <r>
      <rPr>
        <sz val="12"/>
        <color rgb="FFFF0000"/>
        <rFont val="Calibri"/>
        <family val="2"/>
        <scheme val="minor"/>
      </rPr>
      <t xml:space="preserve"> is less than the connected load DU of the largest individual drainage object connected, its DU value shall apply.</t>
    </r>
  </si>
  <si>
    <t>Connected load of the largest drainage object</t>
  </si>
  <si>
    <t>e.g. condensate from condensing boilers; steam boiler systems; refrigeration systems</t>
  </si>
  <si>
    <t>20 [l/m*h] Experience value</t>
  </si>
  <si>
    <t xml:space="preserve">Length of drainage in [m] </t>
  </si>
  <si>
    <t>Liter per m length</t>
  </si>
  <si>
    <t>Condensate 1</t>
  </si>
  <si>
    <t>Light liquid separator.</t>
  </si>
  <si>
    <t>Greassep.</t>
  </si>
  <si>
    <t>from other lifting systems</t>
  </si>
  <si>
    <t>Pump 1</t>
  </si>
  <si>
    <t>Pump 2</t>
  </si>
  <si>
    <t>Pump 3</t>
  </si>
  <si>
    <t>Calculation of rainwater runoff in accordance with DIN1986-100(12/2016) for properties with a paved area of up to 60 ha for wastewater lifting stations</t>
  </si>
  <si>
    <t>Rainwater runoff</t>
  </si>
  <si>
    <t>Donation on account</t>
  </si>
  <si>
    <t>D = Duration in min.</t>
  </si>
  <si>
    <t>T = annuality</t>
  </si>
  <si>
    <t>Discharge coefficient</t>
  </si>
  <si>
    <t>Effective precipitation area projected on the ground plan</t>
  </si>
  <si>
    <t xml:space="preserve">Location of the drainage system </t>
  </si>
  <si>
    <t>select</t>
  </si>
  <si>
    <r>
      <rPr>
        <b/>
        <sz val="12"/>
        <color rgb="FFFF0000"/>
        <rFont val="Calibri"/>
        <family val="2"/>
        <scheme val="minor"/>
      </rPr>
      <t xml:space="preserve">Rainwater volume below the backflow level endangering buildings and material assets </t>
    </r>
    <r>
      <rPr>
        <sz val="12"/>
        <color theme="1"/>
        <rFont val="Calibri"/>
        <family val="2"/>
        <scheme val="minor"/>
      </rPr>
      <t>Wastewater lifting units that drain areas below the backflow level that could endanger buildings or other material assets in the event of flooding must be dimensioned in accordance with DIN EN 12056-4 so that no damage can occur in the event of a one-in-a-century rainfall event r(5,100). These areas include, for example, house entrances, basement entrances, garage entrances and inner courtyards.</t>
    </r>
  </si>
  <si>
    <t>Assign area name</t>
  </si>
  <si>
    <t>Length a [m]</t>
  </si>
  <si>
    <t>Width b [m]</t>
  </si>
  <si>
    <t>b For these areas, a possible higher runoff contribution must be checked for the flooding verification depending on the local conditions (e.g. gradient, soil, vegetation).</t>
  </si>
  <si>
    <t>Rainwater volume below the backflow level, without endangering buildings and property</t>
  </si>
  <si>
    <t>For large areas below the backflow level that do not endanger buildings or material assets, proof of flooding must be provided with the minimum 30-year rainfall event in 5 min (r(5.30)). In these cases, the sewage lifting station must be dimensioned at least for the 5-minute rainfall event that can occur once every two years (r(5.2)).</t>
  </si>
  <si>
    <r>
      <rPr>
        <b/>
        <sz val="11"/>
        <color theme="1"/>
        <rFont val="Calibri"/>
        <family val="2"/>
        <scheme val="minor"/>
      </rPr>
      <t>Pitched roof -</t>
    </r>
    <r>
      <rPr>
        <sz val="11"/>
        <color theme="1"/>
        <rFont val="Calibri"/>
        <family val="2"/>
        <scheme val="minor"/>
      </rPr>
      <t>metal, glass, slate, fiber cement</t>
    </r>
  </si>
  <si>
    <r>
      <rPr>
        <b/>
        <sz val="11"/>
        <color theme="1"/>
        <rFont val="Calibri"/>
        <family val="2"/>
        <scheme val="minor"/>
      </rPr>
      <t>Pitched roof</t>
    </r>
    <r>
      <rPr>
        <sz val="11"/>
        <color theme="1"/>
        <rFont val="Calibri"/>
        <family val="2"/>
        <scheme val="minor"/>
      </rPr>
      <t>tiles, waterproofing membranes</t>
    </r>
  </si>
  <si>
    <r>
      <rPr>
        <b/>
        <sz val="11"/>
        <color theme="1"/>
        <rFont val="Calibri"/>
        <family val="2"/>
        <scheme val="minor"/>
      </rPr>
      <t>Flat roof pitch up to 3° or approx. 5 %-</t>
    </r>
    <r>
      <rPr>
        <sz val="11"/>
        <color theme="1"/>
        <rFont val="Calibri"/>
        <family val="2"/>
        <scheme val="minor"/>
      </rPr>
      <t>Metal, glass, fiber cement</t>
    </r>
  </si>
  <si>
    <r>
      <rPr>
        <b/>
        <sz val="11"/>
        <color theme="1"/>
        <rFont val="Calibri"/>
        <family val="2"/>
        <scheme val="minor"/>
      </rPr>
      <t>Flat roof pitch up to 3° or approx. 5 %-</t>
    </r>
    <r>
      <rPr>
        <sz val="11"/>
        <color theme="1"/>
        <rFont val="Calibri"/>
        <family val="2"/>
        <scheme val="minor"/>
      </rPr>
      <t>Waterproofing membranes</t>
    </r>
  </si>
  <si>
    <r>
      <rPr>
        <b/>
        <sz val="11"/>
        <color theme="1"/>
        <rFont val="Calibri"/>
        <family val="2"/>
        <scheme val="minor"/>
      </rPr>
      <t>Flat roof pitch up to 3° or approx. 5 %-</t>
    </r>
    <r>
      <rPr>
        <sz val="11"/>
        <color theme="1"/>
        <rFont val="Calibri"/>
        <family val="2"/>
        <scheme val="minor"/>
      </rPr>
      <t>Gravel filling</t>
    </r>
  </si>
  <si>
    <r>
      <rPr>
        <b/>
        <sz val="11"/>
        <color theme="1"/>
        <rFont val="Calibri"/>
        <family val="2"/>
        <scheme val="minor"/>
      </rPr>
      <t>Green roof</t>
    </r>
    <r>
      <rPr>
        <b/>
        <vertAlign val="superscript"/>
        <sz val="11"/>
        <color theme="1"/>
        <rFont val="Calibri"/>
        <family val="2"/>
        <scheme val="minor"/>
      </rPr>
      <t>areas-</t>
    </r>
    <r>
      <rPr>
        <sz val="11"/>
        <color theme="1"/>
        <rFont val="Calibri"/>
        <family val="2"/>
        <scheme val="minor"/>
      </rPr>
      <t>Extensive greening (&gt; 5°)</t>
    </r>
  </si>
  <si>
    <r>
      <rPr>
        <b/>
        <sz val="11"/>
        <color theme="1"/>
        <rFont val="Calibri"/>
        <family val="2"/>
        <scheme val="minor"/>
      </rPr>
      <t>Green roof</t>
    </r>
    <r>
      <rPr>
        <b/>
        <vertAlign val="superscript"/>
        <sz val="11"/>
        <color theme="1"/>
        <rFont val="Calibri"/>
        <family val="2"/>
        <scheme val="minor"/>
      </rPr>
      <t>areas-</t>
    </r>
    <r>
      <rPr>
        <sz val="11"/>
        <color theme="1"/>
        <rFont val="Calibri"/>
        <family val="2"/>
        <scheme val="minor"/>
      </rPr>
      <t>Intensive green roofs, from 30 cm built-up thickness (≤ 5°)</t>
    </r>
  </si>
  <si>
    <r>
      <rPr>
        <b/>
        <sz val="11"/>
        <color theme="1"/>
        <rFont val="Calibri"/>
        <family val="2"/>
        <scheme val="minor"/>
      </rPr>
      <t>Green roof</t>
    </r>
    <r>
      <rPr>
        <b/>
        <vertAlign val="superscript"/>
        <sz val="11"/>
        <color theme="1"/>
        <rFont val="Calibri"/>
        <family val="2"/>
        <scheme val="minor"/>
      </rPr>
      <t>areas-</t>
    </r>
    <r>
      <rPr>
        <sz val="11"/>
        <color theme="1"/>
        <rFont val="Calibri"/>
        <family val="2"/>
        <scheme val="minor"/>
      </rPr>
      <t>Extensive green roofs, from 10 cm built-up thickness (≤ 5°)</t>
    </r>
  </si>
  <si>
    <r>
      <rPr>
        <b/>
        <sz val="11"/>
        <color theme="1"/>
        <rFont val="Calibri"/>
        <family val="2"/>
        <scheme val="minor"/>
      </rPr>
      <t>Green roof</t>
    </r>
    <r>
      <rPr>
        <b/>
        <vertAlign val="superscript"/>
        <sz val="11"/>
        <color theme="1"/>
        <rFont val="Calibri"/>
        <family val="2"/>
        <scheme val="minor"/>
      </rPr>
      <t>areas-</t>
    </r>
    <r>
      <rPr>
        <sz val="11"/>
        <color theme="1"/>
        <rFont val="Calibri"/>
        <family val="2"/>
        <scheme val="minor"/>
      </rPr>
      <t>Extensive green</t>
    </r>
    <r>
      <rPr>
        <b/>
        <sz val="11"/>
        <color theme="1"/>
        <rFont val="Calibri"/>
        <family val="2"/>
        <scheme val="minor"/>
      </rPr>
      <t>roofs</t>
    </r>
    <r>
      <rPr>
        <sz val="11"/>
        <color theme="1"/>
        <rFont val="Calibri"/>
        <family val="2"/>
        <scheme val="minor"/>
      </rPr>
      <t>, less than 10 cm thickness (≤ 5°)</t>
    </r>
  </si>
  <si>
    <r>
      <rPr>
        <b/>
        <sz val="11"/>
        <color theme="1"/>
        <rFont val="Calibri"/>
        <family val="2"/>
        <scheme val="minor"/>
      </rPr>
      <t>Traffic areas (roads, squares, access roads, paths</t>
    </r>
    <r>
      <rPr>
        <sz val="11"/>
        <color theme="1"/>
        <rFont val="Calibri"/>
        <family val="2"/>
        <scheme val="minor"/>
      </rPr>
      <t>)- Concrete surfaces</t>
    </r>
  </si>
  <si>
    <r>
      <rPr>
        <b/>
        <sz val="11"/>
        <color theme="1"/>
        <rFont val="Calibri"/>
        <family val="2"/>
        <scheme val="minor"/>
      </rPr>
      <t>Traffic areas (roads, squares, access roads, paths</t>
    </r>
    <r>
      <rPr>
        <sz val="11"/>
        <color theme="1"/>
        <rFont val="Calibri"/>
        <family val="2"/>
        <scheme val="minor"/>
      </rPr>
      <t>)- Blacktop (asphalt)</t>
    </r>
  </si>
  <si>
    <r>
      <rPr>
        <b/>
        <sz val="11"/>
        <color theme="1"/>
        <rFont val="Calibri"/>
        <family val="2"/>
        <scheme val="minor"/>
      </rPr>
      <t>Traffic areas (roads, squares, access roads, paths</t>
    </r>
    <r>
      <rPr>
        <sz val="11"/>
        <color theme="1"/>
        <rFont val="Calibri"/>
        <family val="2"/>
        <scheme val="minor"/>
      </rPr>
      <t>)- paved surfaces with joint sealing, e.g. paving with joint sealing</t>
    </r>
  </si>
  <si>
    <r>
      <rPr>
        <b/>
        <sz val="11"/>
        <color theme="1"/>
        <rFont val="Calibri"/>
        <family val="2"/>
        <scheme val="minor"/>
      </rPr>
      <t>Ramp</t>
    </r>
    <r>
      <rPr>
        <sz val="11"/>
        <color theme="1"/>
        <rFont val="Calibri"/>
        <family val="2"/>
        <scheme val="minor"/>
      </rPr>
      <t>inclination to the building, regardless of the inclination and type of fastening</t>
    </r>
  </si>
  <si>
    <r>
      <rPr>
        <b/>
        <sz val="11"/>
        <color theme="1"/>
        <rFont val="Calibri"/>
        <family val="2"/>
        <scheme val="minor"/>
      </rPr>
      <t>Partially permeable and slightly draining surfaces, e.g. traffic areas (roads, squares, driveways, paths</t>
    </r>
    <r>
      <rPr>
        <sz val="11"/>
        <color theme="1"/>
        <rFont val="Calibri"/>
        <family val="2"/>
        <scheme val="minor"/>
      </rPr>
      <t>)- Concrete block paving, laid in sand or slag, surfaces with slabs</t>
    </r>
  </si>
  <si>
    <r>
      <rPr>
        <b/>
        <sz val="11"/>
        <color theme="1"/>
        <rFont val="Calibri"/>
        <family val="2"/>
        <scheme val="minor"/>
      </rPr>
      <t>Partially permeable and slightly draining surfaces, e.g. traffic areas (roads, squares, driveways, paths</t>
    </r>
    <r>
      <rPr>
        <sz val="11"/>
        <color theme="1"/>
        <rFont val="Calibri"/>
        <family val="2"/>
        <scheme val="minor"/>
      </rPr>
      <t>) - Paved surfaces with joints &gt; 15 %, e.g. 10 cm × 10 cm and small or firm gravel covering</t>
    </r>
  </si>
  <si>
    <r>
      <rPr>
        <b/>
        <sz val="11"/>
        <color theme="1"/>
        <rFont val="Calibri"/>
        <family val="2"/>
        <scheme val="minor"/>
      </rPr>
      <t>Partially permeable and slightly draining surfaces, e.g. traffic areas (roads, squares, access roads, paths</t>
    </r>
    <r>
      <rPr>
        <sz val="11"/>
        <color theme="1"/>
        <rFont val="Calibri"/>
        <family val="2"/>
        <scheme val="minor"/>
      </rPr>
      <t>)- water-bound surfaces</t>
    </r>
  </si>
  <si>
    <r>
      <rPr>
        <b/>
        <sz val="11"/>
        <color theme="1"/>
        <rFont val="Calibri"/>
        <family val="2"/>
        <scheme val="minor"/>
      </rPr>
      <t>Partially permeable and slightly draining surfaces, e.g. traffic areas (roads, squares, access roads, paths</t>
    </r>
    <r>
      <rPr>
        <sz val="11"/>
        <color theme="1"/>
        <rFont val="Calibri"/>
        <family val="2"/>
        <scheme val="minor"/>
      </rPr>
      <t>)- loose gravel surface, gravel turf, e.g. children's playgrounds</t>
    </r>
  </si>
  <si>
    <r>
      <rPr>
        <b/>
        <sz val="11"/>
        <color theme="1"/>
        <rFont val="Calibri"/>
        <family val="2"/>
        <scheme val="minor"/>
      </rPr>
      <t>Partially permeable and slightly draining surfaces, e.g. traffic areas (roads, squares, access roads, paths</t>
    </r>
    <r>
      <rPr>
        <sz val="11"/>
        <color theme="1"/>
        <rFont val="Calibri"/>
        <family val="2"/>
        <scheme val="minor"/>
      </rPr>
      <t>) - interlocking paving stones with seepage joints, seepage/drainage stones</t>
    </r>
  </si>
  <si>
    <r>
      <rPr>
        <b/>
        <sz val="11"/>
        <color theme="1"/>
        <rFont val="Calibri"/>
        <family val="2"/>
        <scheme val="minor"/>
      </rPr>
      <t>Partially permeable and slightly draining surfaces, e.g. traffic areas (roads, squares, driveways, paths</t>
    </r>
    <r>
      <rPr>
        <sz val="11"/>
        <color theme="1"/>
        <rFont val="Calibri"/>
        <family val="2"/>
        <scheme val="minor"/>
      </rPr>
      <t>) - Grass pavers (with frequent traffic loads, e.g. parking lot)</t>
    </r>
  </si>
  <si>
    <r>
      <rPr>
        <b/>
        <sz val="11"/>
        <color theme="1"/>
        <rFont val="Calibri"/>
        <family val="2"/>
        <scheme val="minor"/>
      </rPr>
      <t>Partially permeable and slightly draining surfaces, e.g. traffic areas (roads, squares, access roads, paths</t>
    </r>
    <r>
      <rPr>
        <sz val="11"/>
        <color theme="1"/>
        <rFont val="Calibri"/>
        <family val="2"/>
        <scheme val="minor"/>
      </rPr>
      <t>) - Grass pavers (without frequent traffic loads, e.g. fire department access road)</t>
    </r>
  </si>
  <si>
    <r>
      <rPr>
        <b/>
        <sz val="11"/>
        <color theme="1"/>
        <rFont val="Calibri"/>
        <family val="2"/>
        <scheme val="minor"/>
      </rPr>
      <t>Sports surfaces with drainage -</t>
    </r>
    <r>
      <rPr>
        <sz val="11"/>
        <color theme="1"/>
        <rFont val="Calibri"/>
        <family val="2"/>
        <scheme val="minor"/>
      </rPr>
      <t>synthetic surfaces, synthetic turf</t>
    </r>
  </si>
  <si>
    <r>
      <rPr>
        <b/>
        <sz val="11"/>
        <color theme="1"/>
        <rFont val="Calibri"/>
        <family val="2"/>
        <scheme val="minor"/>
      </rPr>
      <t>Sports areas with drainage -</t>
    </r>
    <r>
      <rPr>
        <sz val="11"/>
        <color theme="1"/>
        <rFont val="Calibri"/>
        <family val="2"/>
        <scheme val="minor"/>
      </rPr>
      <t>turf areas</t>
    </r>
  </si>
  <si>
    <r>
      <rPr>
        <b/>
        <sz val="11"/>
        <color theme="1"/>
        <rFont val="Calibri"/>
        <family val="2"/>
        <scheme val="minor"/>
      </rPr>
      <t>Sports areas with drainage -</t>
    </r>
    <r>
      <rPr>
        <sz val="11"/>
        <color theme="1"/>
        <rFont val="Calibri"/>
        <family val="2"/>
        <scheme val="minor"/>
      </rPr>
      <t>lawns</t>
    </r>
  </si>
  <si>
    <r>
      <rPr>
        <b/>
        <sz val="11"/>
        <color theme="1"/>
        <rFont val="Calibri"/>
        <family val="2"/>
        <scheme val="minor"/>
      </rPr>
      <t>Parks, lawns,</t>
    </r>
    <r>
      <rPr>
        <b/>
        <vertAlign val="superscript"/>
        <sz val="11"/>
        <color theme="1"/>
        <rFont val="Calibri"/>
        <family val="2"/>
        <scheme val="minor"/>
      </rPr>
      <t>gardensb-</t>
    </r>
    <r>
      <rPr>
        <sz val="11"/>
        <color theme="1"/>
        <rFont val="Calibri"/>
        <family val="2"/>
        <scheme val="minor"/>
      </rPr>
      <t>flat terrain (b)</t>
    </r>
  </si>
  <si>
    <r>
      <rPr>
        <b/>
        <sz val="11"/>
        <color theme="1"/>
        <rFont val="Calibri"/>
        <family val="2"/>
        <scheme val="minor"/>
      </rPr>
      <t>Parks, lawns,</t>
    </r>
    <r>
      <rPr>
        <b/>
        <vertAlign val="superscript"/>
        <sz val="11"/>
        <color theme="1"/>
        <rFont val="Calibri"/>
        <family val="2"/>
        <scheme val="minor"/>
      </rPr>
      <t>gardensb-</t>
    </r>
    <r>
      <rPr>
        <sz val="11"/>
        <color theme="1"/>
        <rFont val="Calibri"/>
        <family val="2"/>
        <scheme val="minor"/>
      </rPr>
      <t>Steep terrain (b)</t>
    </r>
  </si>
  <si>
    <t>a See also [7] for the planning, implementation and maintenance of green roofs; the values stated there are Cs values</t>
  </si>
  <si>
    <t>c Due to the use of a uniform return period (T = 2 a) and the limited range of applications for the design of VRRR, only one value for Cm is given here. The value ranges specified in the DWA regulations refer to different return periods and planning situations.</t>
  </si>
  <si>
    <t>Select the type of drainage area</t>
  </si>
  <si>
    <t>Flat roof pitch up to 3° or approx. 5 %-Metal, glass, fiber cement</t>
  </si>
  <si>
    <t>Pitched rooftiles, waterproofing membranes</t>
  </si>
  <si>
    <t>Flat roof pitch up to 3° or approx. 5 %-Gravel filling</t>
  </si>
  <si>
    <t>Pitched roof -metal, glass, slate, fiber cement</t>
  </si>
  <si>
    <t>Head calculation DIN EN12056-4 (01/2001)</t>
  </si>
  <si>
    <t>Select piping material</t>
  </si>
  <si>
    <t>Select nominal width</t>
  </si>
  <si>
    <r>
      <t>Inner diameter</t>
    </r>
    <r>
      <rPr>
        <b/>
        <vertAlign val="subscript"/>
        <sz val="12"/>
        <rFont val="Calibri"/>
        <family val="2"/>
        <scheme val="minor"/>
      </rPr>
      <t>di</t>
    </r>
    <r>
      <rPr>
        <b/>
        <sz val="12"/>
        <rFont val="Calibri"/>
        <family val="2"/>
        <scheme val="minor"/>
      </rPr>
      <t xml:space="preserve"> [mm]</t>
    </r>
  </si>
  <si>
    <r>
      <t>Outer diameter</t>
    </r>
    <r>
      <rPr>
        <b/>
        <vertAlign val="subscript"/>
        <sz val="12"/>
        <rFont val="Calibri"/>
        <family val="2"/>
        <scheme val="minor"/>
      </rPr>
      <t>da</t>
    </r>
    <r>
      <rPr>
        <b/>
        <sz val="12"/>
        <rFont val="Calibri"/>
        <family val="2"/>
        <scheme val="minor"/>
      </rPr>
      <t xml:space="preserve"> [mm]</t>
    </r>
  </si>
  <si>
    <t>Flow velocity [m/s]</t>
  </si>
  <si>
    <t>Pressure loss in meters per meter of pipe [m/m]</t>
  </si>
  <si>
    <r>
      <rPr>
        <b/>
        <vertAlign val="subscript"/>
        <sz val="12"/>
        <rFont val="Calibri"/>
        <family val="2"/>
        <scheme val="minor"/>
      </rPr>
      <t xml:space="preserve">Htot </t>
    </r>
  </si>
  <si>
    <r>
      <rPr>
        <b/>
        <vertAlign val="subscript"/>
        <sz val="12"/>
        <rFont val="Calibri"/>
        <family val="2"/>
        <scheme val="minor"/>
      </rPr>
      <t>HV,R</t>
    </r>
  </si>
  <si>
    <r>
      <rPr>
        <b/>
        <vertAlign val="subscript"/>
        <sz val="12"/>
        <rFont val="Calibri"/>
        <family val="2"/>
        <scheme val="minor"/>
      </rPr>
      <t>HV,A</t>
    </r>
  </si>
  <si>
    <r>
      <rPr>
        <b/>
        <vertAlign val="subscript"/>
        <sz val="12"/>
        <rFont val="Calibri"/>
        <family val="2"/>
        <scheme val="minor"/>
      </rPr>
      <t>Hgeo</t>
    </r>
  </si>
  <si>
    <r>
      <rPr>
        <b/>
        <vertAlign val="subscript"/>
        <sz val="12"/>
        <rFont val="Calibri"/>
        <family val="2"/>
        <scheme val="minor"/>
      </rPr>
      <t>kB</t>
    </r>
  </si>
  <si>
    <t>Length of the pressure pipe to the backflow loop [m]</t>
  </si>
  <si>
    <t>Pressure loss of the pipeline</t>
  </si>
  <si>
    <t>Pressure loss of fittings and molded parts</t>
  </si>
  <si>
    <t>Type of individual resistor</t>
  </si>
  <si>
    <r>
      <rPr>
        <b/>
        <vertAlign val="superscript"/>
        <sz val="12"/>
        <rFont val="Calibri"/>
        <family val="2"/>
        <scheme val="minor"/>
      </rPr>
      <t>Gate</t>
    </r>
    <r>
      <rPr>
        <sz val="11"/>
        <color theme="1"/>
        <rFont val="Calibri"/>
        <family val="2"/>
        <scheme val="minor"/>
      </rPr>
      <t>valve1</t>
    </r>
  </si>
  <si>
    <r>
      <t>Backflow</t>
    </r>
    <r>
      <rPr>
        <b/>
        <vertAlign val="superscript"/>
        <sz val="12"/>
        <rFont val="Calibri"/>
        <family val="2"/>
        <scheme val="minor"/>
      </rPr>
      <t>preventer1</t>
    </r>
  </si>
  <si>
    <t>Elbow 90°</t>
  </si>
  <si>
    <t>Bow 45°</t>
  </si>
  <si>
    <t>Free outlet</t>
  </si>
  <si>
    <t>T-piece 45° passage for current unification</t>
  </si>
  <si>
    <t>T-piece 90° passage for current unification</t>
  </si>
  <si>
    <t>T-piece 45° branch for power connection</t>
  </si>
  <si>
    <t>T-piece 90° branch for power connection</t>
  </si>
  <si>
    <t>T-piece 90 counterflow</t>
  </si>
  <si>
    <t>Cross-section extension</t>
  </si>
  <si>
    <t>- Self-deflating resistor -</t>
  </si>
  <si>
    <r>
      <rPr>
        <b/>
        <sz val="12"/>
        <rFont val="Calibri"/>
        <family val="2"/>
        <scheme val="minor"/>
      </rPr>
      <t>1Manufacturer's instructions should be used</t>
    </r>
  </si>
  <si>
    <t>Pressure loss of fittings and built-in parts</t>
  </si>
  <si>
    <t>Dynamic pressure losses</t>
  </si>
  <si>
    <t xml:space="preserve">Geodetic  </t>
  </si>
  <si>
    <t>height</t>
  </si>
  <si>
    <t>Total head</t>
  </si>
  <si>
    <t>Shaft planning (please use the data from above to design the pump(s), including the type of installation)</t>
  </si>
  <si>
    <t>Select number of pumps</t>
  </si>
  <si>
    <t>Single pump operation or reserve pump operation (2 x 100%)</t>
  </si>
  <si>
    <t>Peak load operation (2 x 50%)</t>
  </si>
  <si>
    <t>Dimensions and data from the pump data sheets</t>
  </si>
  <si>
    <t>Pump width of a pump [mm]</t>
  </si>
  <si>
    <t>Lowest switch-off point in automatic mode [mm]</t>
  </si>
  <si>
    <t>Pump discharge nozzle (DN2)</t>
  </si>
  <si>
    <r>
      <t>Switching frequency of the pump from data sheet "Z" [</t>
    </r>
    <r>
      <rPr>
        <b/>
        <vertAlign val="superscript"/>
        <sz val="12"/>
        <rFont val="Calibri"/>
        <family val="2"/>
        <scheme val="minor"/>
      </rPr>
      <t>h-1</t>
    </r>
    <r>
      <rPr>
        <b/>
        <sz val="12"/>
        <rFont val="Calibri"/>
        <family val="2"/>
        <scheme val="minor"/>
      </rPr>
      <t>]</t>
    </r>
  </si>
  <si>
    <r>
      <t>The volume flow</t>
    </r>
    <r>
      <rPr>
        <b/>
        <vertAlign val="subscript"/>
        <sz val="12"/>
        <rFont val="Calibri"/>
        <family val="2"/>
        <scheme val="minor"/>
      </rPr>
      <t>QP</t>
    </r>
    <r>
      <rPr>
        <b/>
        <sz val="12"/>
        <rFont val="Calibri"/>
        <family val="2"/>
        <scheme val="minor"/>
      </rPr>
      <t xml:space="preserve"> from the </t>
    </r>
  </si>
  <si>
    <r>
      <t>Enter pump data sheet [</t>
    </r>
    <r>
      <rPr>
        <b/>
        <vertAlign val="superscript"/>
        <sz val="12"/>
        <rFont val="Calibri"/>
        <family val="2"/>
        <scheme val="minor"/>
      </rPr>
      <t>m3/h</t>
    </r>
    <r>
      <rPr>
        <b/>
        <sz val="12"/>
        <rFont val="Calibri"/>
        <family val="2"/>
        <scheme val="minor"/>
      </rPr>
      <t>]</t>
    </r>
  </si>
  <si>
    <t>Useful volume for replacing the pipe contents [l]</t>
  </si>
  <si>
    <t>Required switching volume at 1 x 100% (e.g. reserve pump operation) [l]</t>
  </si>
  <si>
    <t>Required switching volume at 2 x 50% (e.g. peak load pump operation) [l]</t>
  </si>
  <si>
    <t>Shaft planning (principle sketch)</t>
  </si>
  <si>
    <t>Select supply line</t>
  </si>
  <si>
    <r>
      <rPr>
        <b/>
        <vertAlign val="subscript"/>
        <sz val="12"/>
        <rFont val="Calibri"/>
        <family val="2"/>
        <scheme val="minor"/>
      </rPr>
      <t xml:space="preserve">hFrost </t>
    </r>
    <r>
      <rPr>
        <sz val="11"/>
        <color theme="1"/>
        <rFont val="Calibri"/>
        <family val="2"/>
        <scheme val="minor"/>
      </rPr>
      <t>protection</t>
    </r>
    <r>
      <rPr>
        <b/>
        <sz val="12"/>
        <rFont val="Calibri"/>
        <family val="2"/>
        <scheme val="minor"/>
      </rPr>
      <t>[m]</t>
    </r>
  </si>
  <si>
    <t>Reserve volume [l]</t>
  </si>
  <si>
    <r>
      <rPr>
        <b/>
        <vertAlign val="subscript"/>
        <sz val="11"/>
        <rFont val="Calibri"/>
        <family val="2"/>
        <scheme val="minor"/>
      </rPr>
      <t xml:space="preserve">hNuz </t>
    </r>
    <r>
      <rPr>
        <sz val="11"/>
        <color theme="1"/>
        <rFont val="Calibri"/>
        <family val="2"/>
        <scheme val="minor"/>
      </rPr>
      <t>volume</t>
    </r>
    <r>
      <rPr>
        <b/>
        <sz val="11"/>
        <rFont val="Calibri"/>
        <family val="2"/>
        <scheme val="minor"/>
      </rPr>
      <t>[m]</t>
    </r>
    <r>
      <rPr>
        <sz val="11"/>
        <rFont val="Calibri"/>
        <family val="2"/>
        <scheme val="minor"/>
      </rPr>
      <t xml:space="preserve"> </t>
    </r>
  </si>
  <si>
    <t>Plastic PVC-U DIN 8062</t>
  </si>
  <si>
    <t>Plastic PE-HD DIN 8077 PN16</t>
  </si>
  <si>
    <t>Plastic PE-HD DIN 8077 PN10</t>
  </si>
  <si>
    <t>Drain pipe SML DIN 19522</t>
  </si>
  <si>
    <t>Steel according to DIN EN 1220</t>
  </si>
  <si>
    <t>Stainless steel according to DIN EN 10312</t>
  </si>
  <si>
    <t>The foundation thickness for pumps with connection bends can be found in the pump data sheets.</t>
  </si>
  <si>
    <t>Top of terrain</t>
  </si>
  <si>
    <t>Frost protection depth or upper edge of the pressure pipe</t>
  </si>
  <si>
    <t xml:space="preserve">Bottom edge of the fittings </t>
  </si>
  <si>
    <t>Lower edge of the lowest inlet pipe can be used as an alarm switching point</t>
  </si>
  <si>
    <t>Switch point pump on for the useful volume or switch point off peak load pump</t>
  </si>
  <si>
    <r>
      <t xml:space="preserve">the point is </t>
    </r>
    <r>
      <rPr>
        <b/>
        <sz val="12"/>
        <rFont val="Arial"/>
        <family val="2"/>
      </rPr>
      <t xml:space="preserve"> preset </t>
    </r>
    <r>
      <rPr>
        <sz val="11"/>
        <color theme="1"/>
        <rFont val="Calibri"/>
        <family val="2"/>
        <scheme val="minor"/>
      </rPr>
      <t xml:space="preserve">with a height h </t>
    </r>
    <r>
      <rPr>
        <b/>
        <vertAlign val="subscript"/>
        <sz val="12"/>
        <rFont val="Arial"/>
        <family val="2"/>
      </rPr>
      <t>reserve</t>
    </r>
    <r>
      <rPr>
        <b/>
        <sz val="12"/>
        <rFont val="Arial"/>
        <family val="2"/>
      </rPr>
      <t xml:space="preserve"> of 0.1 m </t>
    </r>
  </si>
  <si>
    <t>Lowest switch-off point in automatic mode (S3) of the pumps</t>
  </si>
  <si>
    <t>Shaft bottom</t>
  </si>
  <si>
    <t>Water</t>
  </si>
  <si>
    <t>Number of pumps</t>
  </si>
  <si>
    <t>Shaft dimensions [mm]</t>
  </si>
  <si>
    <t>Pump discharge nozzle</t>
  </si>
  <si>
    <t>DIN EN558 Series 1 Gate Valve</t>
  </si>
  <si>
    <t>DIN EN558 Series1  No-return flap</t>
  </si>
  <si>
    <t>Total length</t>
  </si>
  <si>
    <t>Diameter 
[mm]</t>
  </si>
  <si>
    <t>Pipe material</t>
  </si>
  <si>
    <t>Outer-diameter
[mm]</t>
  </si>
  <si>
    <t xml:space="preserve">Wall thickness [mm]  </t>
  </si>
  <si>
    <t>Inside diameter [mm]</t>
  </si>
  <si>
    <t>Water content I
[I/m]</t>
  </si>
  <si>
    <t>Pipe roughness coefficient k</t>
  </si>
  <si>
    <t>k/d Waste water</t>
  </si>
  <si>
    <r>
      <t>k</t>
    </r>
    <r>
      <rPr>
        <vertAlign val="subscript"/>
        <sz val="11"/>
        <color theme="1"/>
        <rFont val="Calibri"/>
        <family val="2"/>
        <scheme val="minor"/>
      </rPr>
      <t>b</t>
    </r>
    <r>
      <rPr>
        <sz val="11"/>
        <color theme="1"/>
        <rFont val="Calibri"/>
        <family val="2"/>
        <scheme val="minor"/>
      </rPr>
      <t xml:space="preserve"> for waste water 0.25</t>
    </r>
  </si>
  <si>
    <r>
      <t>Cross section [m</t>
    </r>
    <r>
      <rPr>
        <vertAlign val="superscript"/>
        <sz val="11"/>
        <color theme="1"/>
        <rFont val="Calibri"/>
        <family val="2"/>
        <scheme val="minor"/>
      </rPr>
      <t>2</t>
    </r>
    <r>
      <rPr>
        <sz val="11"/>
        <color theme="1"/>
        <rFont val="Calibri"/>
        <family val="2"/>
        <scheme val="minor"/>
      </rPr>
      <t>]</t>
    </r>
  </si>
  <si>
    <t>Height of bend 3*D [mm]</t>
  </si>
  <si>
    <t>Overall length of fittings gate valve &amp; non-return flap [mm]</t>
  </si>
  <si>
    <t>Sum of bends and fittings [mm]</t>
  </si>
  <si>
    <t>Content Pump shaft planing</t>
  </si>
  <si>
    <t>Worksheet</t>
  </si>
  <si>
    <t>Content</t>
  </si>
  <si>
    <r>
      <t xml:space="preserve">Flow rate Q </t>
    </r>
    <r>
      <rPr>
        <b/>
        <vertAlign val="subscript"/>
        <sz val="12"/>
        <rFont val="Calibri"/>
        <family val="2"/>
        <scheme val="minor"/>
      </rPr>
      <t>head</t>
    </r>
    <r>
      <rPr>
        <b/>
        <sz val="12"/>
        <rFont val="Calibri"/>
        <family val="2"/>
        <scheme val="minor"/>
      </rPr>
      <t xml:space="preserve"> [m</t>
    </r>
    <r>
      <rPr>
        <b/>
        <vertAlign val="superscript"/>
        <sz val="12"/>
        <rFont val="Calibri"/>
        <family val="2"/>
        <scheme val="minor"/>
      </rPr>
      <t>3</t>
    </r>
    <r>
      <rPr>
        <b/>
        <sz val="12"/>
        <rFont val="Calibri"/>
        <family val="2"/>
        <scheme val="minor"/>
      </rPr>
      <t>/h]</t>
    </r>
  </si>
  <si>
    <r>
      <rPr>
        <b/>
        <sz val="12"/>
        <color theme="1"/>
        <rFont val="Calibri"/>
        <family val="2"/>
        <scheme val="minor"/>
      </rPr>
      <t>Q</t>
    </r>
    <r>
      <rPr>
        <b/>
        <vertAlign val="subscript"/>
        <sz val="12"/>
        <color theme="1"/>
        <rFont val="Calibri"/>
        <family val="2"/>
        <scheme val="minor"/>
      </rPr>
      <t xml:space="preserve">tot </t>
    </r>
    <r>
      <rPr>
        <b/>
        <sz val="12"/>
        <color theme="1"/>
        <rFont val="Calibri"/>
        <family val="2"/>
        <scheme val="minor"/>
      </rPr>
      <t>[l/s]</t>
    </r>
  </si>
  <si>
    <r>
      <rPr>
        <b/>
        <sz val="12"/>
        <color theme="1"/>
        <rFont val="Calibri"/>
        <family val="2"/>
        <scheme val="minor"/>
      </rPr>
      <t>Q</t>
    </r>
    <r>
      <rPr>
        <b/>
        <vertAlign val="subscript"/>
        <sz val="12"/>
        <color theme="1"/>
        <rFont val="Calibri"/>
        <family val="2"/>
        <scheme val="minor"/>
      </rPr>
      <t xml:space="preserve">WW </t>
    </r>
    <r>
      <rPr>
        <b/>
        <sz val="12"/>
        <color theme="1"/>
        <rFont val="Calibri"/>
        <family val="2"/>
        <scheme val="minor"/>
      </rPr>
      <t>[l/s]</t>
    </r>
  </si>
  <si>
    <r>
      <t>Q</t>
    </r>
    <r>
      <rPr>
        <b/>
        <vertAlign val="subscript"/>
        <sz val="12"/>
        <color theme="1"/>
        <rFont val="Calibri"/>
        <family val="2"/>
        <scheme val="minor"/>
      </rPr>
      <t>C</t>
    </r>
    <r>
      <rPr>
        <b/>
        <sz val="12"/>
        <color theme="1"/>
        <rFont val="Calibri"/>
        <family val="2"/>
        <scheme val="minor"/>
      </rPr>
      <t>[l/s]</t>
    </r>
  </si>
  <si>
    <r>
      <t>Q</t>
    </r>
    <r>
      <rPr>
        <b/>
        <vertAlign val="subscript"/>
        <sz val="12"/>
        <color theme="1"/>
        <rFont val="Calibri"/>
        <family val="2"/>
        <scheme val="minor"/>
      </rPr>
      <t>P</t>
    </r>
    <r>
      <rPr>
        <b/>
        <sz val="12"/>
        <color theme="1"/>
        <rFont val="Calibri"/>
        <family val="2"/>
        <scheme val="minor"/>
      </rPr>
      <t>[l/s]</t>
    </r>
  </si>
  <si>
    <t>Floor drain DN 70</t>
  </si>
  <si>
    <r>
      <t>Q</t>
    </r>
    <r>
      <rPr>
        <b/>
        <vertAlign val="subscript"/>
        <sz val="12"/>
        <color theme="1"/>
        <rFont val="Calibri"/>
        <family val="2"/>
        <scheme val="minor"/>
      </rPr>
      <t>R</t>
    </r>
    <r>
      <rPr>
        <b/>
        <sz val="12"/>
        <color theme="1"/>
        <rFont val="Calibri"/>
        <family val="2"/>
        <scheme val="minor"/>
      </rPr>
      <t>[l/s]</t>
    </r>
  </si>
  <si>
    <t>Minimum shaft diameter [mm]</t>
  </si>
  <si>
    <t>If LT is knowen [mm]</t>
  </si>
  <si>
    <t>If  R is knowen [mm]</t>
  </si>
  <si>
    <t>choosen shaft diameter [mm]</t>
  </si>
  <si>
    <r>
      <t>h</t>
    </r>
    <r>
      <rPr>
        <b/>
        <vertAlign val="subscript"/>
        <sz val="12"/>
        <rFont val="Calibri"/>
        <family val="2"/>
        <scheme val="minor"/>
      </rPr>
      <t xml:space="preserve">Inflow min. </t>
    </r>
    <r>
      <rPr>
        <b/>
        <sz val="12"/>
        <rFont val="Calibri"/>
        <family val="2"/>
        <scheme val="minor"/>
      </rPr>
      <t>[m]</t>
    </r>
  </si>
  <si>
    <r>
      <t>h</t>
    </r>
    <r>
      <rPr>
        <b/>
        <vertAlign val="subscript"/>
        <sz val="12"/>
        <rFont val="Calibri"/>
        <family val="2"/>
        <scheme val="minor"/>
      </rPr>
      <t xml:space="preserve">Inflow </t>
    </r>
    <r>
      <rPr>
        <b/>
        <sz val="12"/>
        <rFont val="Calibri"/>
        <family val="2"/>
        <scheme val="minor"/>
      </rPr>
      <t>[m]</t>
    </r>
  </si>
  <si>
    <r>
      <t>h</t>
    </r>
    <r>
      <rPr>
        <b/>
        <vertAlign val="subscript"/>
        <sz val="12"/>
        <rFont val="Calibri"/>
        <family val="2"/>
        <scheme val="minor"/>
      </rPr>
      <t xml:space="preserve">Reserve </t>
    </r>
    <r>
      <rPr>
        <vertAlign val="subscript"/>
        <sz val="11"/>
        <color theme="1"/>
        <rFont val="Calibri"/>
        <family val="2"/>
        <scheme val="minor"/>
      </rPr>
      <t>volume</t>
    </r>
    <r>
      <rPr>
        <b/>
        <sz val="12"/>
        <rFont val="Calibri"/>
        <family val="2"/>
        <scheme val="minor"/>
      </rPr>
      <t>[m]</t>
    </r>
    <r>
      <rPr>
        <sz val="12"/>
        <rFont val="Calibri"/>
        <family val="2"/>
        <scheme val="minor"/>
      </rPr>
      <t xml:space="preserve"> </t>
    </r>
  </si>
  <si>
    <r>
      <t>h</t>
    </r>
    <r>
      <rPr>
        <b/>
        <vertAlign val="subscript"/>
        <sz val="12"/>
        <rFont val="Calibri"/>
        <family val="2"/>
        <scheme val="minor"/>
      </rPr>
      <t>Fittings&amp;bends</t>
    </r>
    <r>
      <rPr>
        <b/>
        <sz val="12"/>
        <rFont val="Calibri"/>
        <family val="2"/>
        <scheme val="minor"/>
      </rPr>
      <t xml:space="preserve">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</si>
</sst>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quot;&quot;;General"/>
  </numFmts>
  <fonts count="54" x14ac:knownFonts="1">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b/>
      <sz val="14"/>
      <color theme="1"/>
      <name val="Calibri"/>
      <family val="2"/>
      <scheme val="minor"/>
    </font>
    <font>
      <b/>
      <sz val="12"/>
      <color theme="1"/>
      <name val="Calibri"/>
      <family val="2"/>
      <scheme val="minor"/>
    </font>
    <font>
      <b/>
      <vertAlign val="subscript"/>
      <sz val="12"/>
      <color theme="1"/>
      <name val="Calibri"/>
      <family val="2"/>
      <scheme val="minor"/>
    </font>
    <font>
      <b/>
      <vertAlign val="superscript"/>
      <sz val="12"/>
      <color theme="1"/>
      <name val="Calibri"/>
      <family val="2"/>
      <scheme val="minor"/>
    </font>
    <font>
      <sz val="12"/>
      <color theme="1"/>
      <name val="Calibri"/>
      <family val="2"/>
      <scheme val="minor"/>
    </font>
    <font>
      <vertAlign val="superscript"/>
      <sz val="11"/>
      <color theme="1"/>
      <name val="Calibri"/>
      <family val="2"/>
      <scheme val="minor"/>
    </font>
    <font>
      <vertAlign val="subscript"/>
      <sz val="11"/>
      <color theme="1"/>
      <name val="Calibri"/>
      <family val="2"/>
      <scheme val="minor"/>
    </font>
    <font>
      <sz val="10"/>
      <color theme="1"/>
      <name val="Calibri"/>
      <family val="2"/>
      <scheme val="minor"/>
    </font>
    <font>
      <sz val="8"/>
      <color theme="1"/>
      <name val="Calibri"/>
      <family val="2"/>
      <scheme val="minor"/>
    </font>
    <font>
      <b/>
      <vertAlign val="subscript"/>
      <sz val="11"/>
      <color theme="1"/>
      <name val="Calibri"/>
      <family val="2"/>
      <scheme val="minor"/>
    </font>
    <font>
      <sz val="12"/>
      <color rgb="FFFF0000"/>
      <name val="Calibri"/>
      <family val="2"/>
      <scheme val="minor"/>
    </font>
    <font>
      <vertAlign val="subscript"/>
      <sz val="12"/>
      <color rgb="FFFF0000"/>
      <name val="Calibri"/>
      <family val="2"/>
      <scheme val="minor"/>
    </font>
    <font>
      <sz val="12"/>
      <color theme="0"/>
      <name val="Calibri"/>
      <family val="2"/>
      <scheme val="minor"/>
    </font>
    <font>
      <b/>
      <sz val="16"/>
      <color theme="1"/>
      <name val="Calibri"/>
      <family val="2"/>
      <scheme val="minor"/>
    </font>
    <font>
      <b/>
      <sz val="18"/>
      <color theme="1"/>
      <name val="Calibri"/>
      <family val="2"/>
      <scheme val="minor"/>
    </font>
    <font>
      <sz val="11"/>
      <color theme="1"/>
      <name val="Calibri"/>
      <family val="2"/>
      <scheme val="minor"/>
    </font>
    <font>
      <b/>
      <sz val="12"/>
      <color rgb="FFFF0000"/>
      <name val="Calibri"/>
      <family val="2"/>
      <scheme val="minor"/>
    </font>
    <font>
      <vertAlign val="subscript"/>
      <sz val="12"/>
      <color theme="1"/>
      <name val="Calibri"/>
      <family val="2"/>
      <scheme val="minor"/>
    </font>
    <font>
      <vertAlign val="superscript"/>
      <sz val="12"/>
      <color theme="1"/>
      <name val="Calibri"/>
      <family val="2"/>
      <scheme val="minor"/>
    </font>
    <font>
      <b/>
      <sz val="12"/>
      <name val="Calibri"/>
      <family val="2"/>
      <scheme val="minor"/>
    </font>
    <font>
      <b/>
      <vertAlign val="superscript"/>
      <sz val="12"/>
      <name val="Calibri"/>
      <family val="2"/>
      <scheme val="minor"/>
    </font>
    <font>
      <b/>
      <vertAlign val="superscript"/>
      <sz val="11"/>
      <color theme="1"/>
      <name val="Calibri"/>
      <family val="2"/>
      <scheme val="minor"/>
    </font>
    <font>
      <sz val="11"/>
      <name val="Calibri"/>
      <family val="2"/>
      <scheme val="minor"/>
    </font>
    <font>
      <vertAlign val="superscript"/>
      <sz val="11"/>
      <name val="Calibri"/>
      <family val="2"/>
      <scheme val="minor"/>
    </font>
    <font>
      <b/>
      <sz val="11"/>
      <color indexed="81"/>
      <name val="Segoe UI"/>
      <family val="2"/>
    </font>
    <font>
      <sz val="10"/>
      <color rgb="FF000000"/>
      <name val="Verdana"/>
      <family val="2"/>
    </font>
    <font>
      <sz val="9"/>
      <color indexed="81"/>
      <name val="Segoe UI"/>
      <family val="2"/>
    </font>
    <font>
      <b/>
      <sz val="12"/>
      <color indexed="81"/>
      <name val="Segoe UI"/>
      <family val="2"/>
    </font>
    <font>
      <sz val="14"/>
      <color indexed="81"/>
      <name val="Segoe UI"/>
      <family val="2"/>
    </font>
    <font>
      <b/>
      <sz val="12"/>
      <name val="Arial"/>
      <family val="2"/>
    </font>
    <font>
      <b/>
      <vertAlign val="subscript"/>
      <sz val="12"/>
      <name val="Arial"/>
      <family val="2"/>
    </font>
    <font>
      <b/>
      <sz val="11"/>
      <name val="Calibri"/>
      <family val="2"/>
      <scheme val="minor"/>
    </font>
    <font>
      <sz val="12"/>
      <name val="Calibri"/>
      <family val="2"/>
      <scheme val="minor"/>
    </font>
    <font>
      <sz val="11"/>
      <name val="Calibri"/>
      <family val="2"/>
    </font>
    <font>
      <sz val="8.5"/>
      <color rgb="FF000000"/>
      <name val="Arial"/>
      <family val="2"/>
    </font>
    <font>
      <sz val="8.5"/>
      <name val="Arial"/>
      <family val="2"/>
    </font>
    <font>
      <sz val="8.5"/>
      <color rgb="FFFF0000"/>
      <name val="Arial"/>
      <family val="2"/>
    </font>
    <font>
      <b/>
      <sz val="8"/>
      <color theme="1"/>
      <name val="Calibri"/>
      <family val="2"/>
      <scheme val="minor"/>
    </font>
    <font>
      <sz val="8"/>
      <name val="Calibri"/>
      <family val="2"/>
      <scheme val="minor"/>
    </font>
    <font>
      <sz val="8"/>
      <color theme="1" tint="0.34998626667073579"/>
      <name val="Calibri"/>
      <family val="2"/>
      <scheme val="minor"/>
    </font>
    <font>
      <sz val="16"/>
      <name val="Calibri"/>
      <family val="2"/>
      <scheme val="minor"/>
    </font>
    <font>
      <b/>
      <sz val="14"/>
      <name val="Calibri"/>
      <family val="2"/>
      <scheme val="minor"/>
    </font>
    <font>
      <b/>
      <vertAlign val="subscript"/>
      <sz val="12"/>
      <name val="Calibri"/>
      <family val="2"/>
      <scheme val="minor"/>
    </font>
    <font>
      <b/>
      <sz val="12"/>
      <name val="Calibri"/>
      <family val="2"/>
    </font>
    <font>
      <b/>
      <vertAlign val="subscript"/>
      <sz val="12"/>
      <name val="Calibri"/>
      <family val="2"/>
    </font>
    <font>
      <b/>
      <vertAlign val="subscript"/>
      <sz val="11"/>
      <name val="Calibri"/>
      <family val="2"/>
      <scheme val="minor"/>
    </font>
    <font>
      <b/>
      <sz val="10"/>
      <name val="Arial"/>
      <family val="2"/>
    </font>
    <font>
      <b/>
      <sz val="20"/>
      <color theme="1"/>
      <name val="Calibri"/>
      <family val="2"/>
      <scheme val="minor"/>
    </font>
    <font>
      <u/>
      <sz val="11"/>
      <color theme="10"/>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53" fillId="0" borderId="0" applyNumberFormat="0" applyFill="0" applyBorder="0" applyAlignment="0" applyProtection="0"/>
  </cellStyleXfs>
  <cellXfs count="383">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Border="1" applyAlignment="1">
      <alignment horizontal="center" vertical="center"/>
    </xf>
    <xf numFmtId="2" fontId="0" fillId="0" borderId="0" xfId="0" applyNumberFormat="1" applyAlignment="1">
      <alignment horizontal="center" vertical="center"/>
    </xf>
    <xf numFmtId="0" fontId="0" fillId="0" borderId="0" xfId="0" applyFill="1" applyAlignment="1">
      <alignment horizontal="center" vertical="center"/>
    </xf>
    <xf numFmtId="0" fontId="9" fillId="4" borderId="9" xfId="0" applyFont="1" applyFill="1" applyBorder="1" applyAlignment="1" applyProtection="1">
      <alignment horizontal="center" vertical="center"/>
      <protection locked="0"/>
    </xf>
    <xf numFmtId="0" fontId="0" fillId="0" borderId="0" xfId="0" applyAlignment="1">
      <alignment vertical="top" wrapText="1"/>
    </xf>
    <xf numFmtId="0" fontId="0" fillId="0" borderId="0" xfId="0" applyAlignment="1">
      <alignment horizontal="left" vertical="top" wrapText="1"/>
    </xf>
    <xf numFmtId="0" fontId="2" fillId="4" borderId="7"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6" fillId="0" borderId="0" xfId="0" applyFont="1" applyBorder="1" applyAlignment="1">
      <alignment vertical="center" wrapText="1"/>
    </xf>
    <xf numFmtId="0" fontId="0" fillId="0" borderId="9" xfId="0" applyBorder="1" applyAlignment="1">
      <alignment horizontal="center" vertical="center"/>
    </xf>
    <xf numFmtId="0" fontId="0" fillId="0" borderId="9" xfId="0" applyBorder="1"/>
    <xf numFmtId="4" fontId="0" fillId="0" borderId="9" xfId="0" applyNumberFormat="1" applyBorder="1" applyAlignment="1">
      <alignment horizontal="center" vertical="center"/>
    </xf>
    <xf numFmtId="0" fontId="0" fillId="0" borderId="34" xfId="0" applyBorder="1" applyAlignment="1">
      <alignment horizontal="center"/>
    </xf>
    <xf numFmtId="0" fontId="0" fillId="0" borderId="35" xfId="0" applyBorder="1" applyAlignment="1">
      <alignment horizontal="center" vertical="center"/>
    </xf>
    <xf numFmtId="0" fontId="2" fillId="0" borderId="35" xfId="0" applyFont="1" applyBorder="1" applyAlignment="1">
      <alignment horizontal="center" vertical="center"/>
    </xf>
    <xf numFmtId="0" fontId="0" fillId="0" borderId="35" xfId="0" applyFont="1" applyBorder="1" applyAlignment="1">
      <alignment horizontal="center" vertical="center"/>
    </xf>
    <xf numFmtId="0" fontId="0" fillId="0" borderId="36" xfId="0" applyBorder="1" applyAlignment="1">
      <alignment horizont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xf>
    <xf numFmtId="0" fontId="0" fillId="0" borderId="11" xfId="0" applyBorder="1" applyAlignment="1">
      <alignment horizontal="center" vertical="center"/>
    </xf>
    <xf numFmtId="0" fontId="0" fillId="0" borderId="11" xfId="0" applyBorder="1"/>
    <xf numFmtId="0" fontId="0" fillId="0" borderId="39" xfId="0" applyBorder="1" applyAlignment="1">
      <alignment horizontal="center" vertical="center"/>
    </xf>
    <xf numFmtId="0" fontId="0" fillId="0" borderId="0" xfId="0" applyAlignment="1"/>
    <xf numFmtId="0" fontId="0" fillId="0" borderId="0" xfId="0" applyAlignment="1">
      <alignment horizontal="center"/>
    </xf>
    <xf numFmtId="0" fontId="0" fillId="0" borderId="0" xfId="0" applyFont="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vertical="center"/>
    </xf>
    <xf numFmtId="0" fontId="20" fillId="0" borderId="0" xfId="0" applyFont="1" applyFill="1" applyAlignment="1">
      <alignment vertical="center"/>
    </xf>
    <xf numFmtId="0" fontId="6" fillId="4" borderId="40" xfId="0" applyFont="1" applyFill="1" applyBorder="1" applyAlignment="1" applyProtection="1">
      <alignment horizontal="center" vertical="center"/>
      <protection locked="0"/>
    </xf>
    <xf numFmtId="0" fontId="6" fillId="4" borderId="7" xfId="0" applyFont="1" applyFill="1" applyBorder="1" applyAlignment="1" applyProtection="1">
      <alignment horizontal="center" vertical="center"/>
      <protection locked="0"/>
    </xf>
    <xf numFmtId="0" fontId="0" fillId="0" borderId="0" xfId="0" applyFont="1" applyAlignment="1">
      <alignment vertical="center"/>
    </xf>
    <xf numFmtId="0" fontId="2" fillId="0" borderId="0" xfId="0" applyFont="1" applyAlignment="1">
      <alignment horizontal="center" vertical="center"/>
    </xf>
    <xf numFmtId="0" fontId="0" fillId="0" borderId="0" xfId="0" applyFill="1" applyAlignment="1">
      <alignment horizontal="left"/>
    </xf>
    <xf numFmtId="0" fontId="0" fillId="0" borderId="0" xfId="0" applyFill="1" applyAlignment="1"/>
    <xf numFmtId="0" fontId="6" fillId="0" borderId="0" xfId="0" applyFont="1" applyBorder="1" applyAlignment="1">
      <alignment horizontal="center" vertical="center"/>
    </xf>
    <xf numFmtId="0" fontId="27" fillId="0" borderId="0" xfId="0" applyFont="1"/>
    <xf numFmtId="0" fontId="0" fillId="0" borderId="0" xfId="0" quotePrefix="1" applyAlignment="1">
      <alignment horizontal="center" vertical="center"/>
    </xf>
    <xf numFmtId="0" fontId="0" fillId="0" borderId="0" xfId="0" applyAlignment="1">
      <alignment horizontal="center" vertical="center" wrapText="1"/>
    </xf>
    <xf numFmtId="0" fontId="30" fillId="0" borderId="0" xfId="0" applyFont="1" applyFill="1" applyBorder="1" applyAlignment="1">
      <alignment vertical="top" wrapText="1"/>
    </xf>
    <xf numFmtId="0" fontId="30" fillId="0" borderId="9" xfId="0" applyFont="1" applyFill="1" applyBorder="1" applyAlignment="1">
      <alignment horizontal="center" vertical="top" wrapText="1"/>
    </xf>
    <xf numFmtId="0" fontId="30" fillId="0" borderId="9" xfId="0" applyFont="1" applyFill="1" applyBorder="1" applyAlignment="1">
      <alignment vertical="top" wrapText="1"/>
    </xf>
    <xf numFmtId="0" fontId="30" fillId="0" borderId="0" xfId="0" applyFont="1" applyFill="1" applyBorder="1" applyAlignment="1">
      <alignment horizontal="center" vertical="center" wrapText="1"/>
    </xf>
    <xf numFmtId="0" fontId="0" fillId="0" borderId="34" xfId="0" applyFill="1" applyBorder="1" applyAlignment="1">
      <alignment horizontal="center" vertical="center"/>
    </xf>
    <xf numFmtId="0" fontId="30" fillId="0" borderId="34" xfId="0" applyFont="1" applyFill="1" applyBorder="1" applyAlignment="1">
      <alignment horizontal="center" vertical="center" wrapText="1"/>
    </xf>
    <xf numFmtId="0" fontId="0" fillId="0" borderId="36" xfId="0" applyFill="1" applyBorder="1" applyAlignment="1">
      <alignment horizontal="center" vertical="center"/>
    </xf>
    <xf numFmtId="0" fontId="30" fillId="0" borderId="38" xfId="0" applyFont="1" applyFill="1" applyBorder="1" applyAlignment="1">
      <alignment horizontal="center" vertical="center" wrapText="1"/>
    </xf>
    <xf numFmtId="0" fontId="0" fillId="0" borderId="21" xfId="0" applyBorder="1" applyAlignment="1">
      <alignment horizontal="center" vertical="center"/>
    </xf>
    <xf numFmtId="0" fontId="0" fillId="0" borderId="37" xfId="0" applyBorder="1" applyAlignment="1">
      <alignment horizontal="center" vertical="center" wrapText="1"/>
    </xf>
    <xf numFmtId="0" fontId="0" fillId="0" borderId="0" xfId="0" applyNumberFormat="1" applyAlignment="1">
      <alignment horizontal="center" vertical="center"/>
    </xf>
    <xf numFmtId="0" fontId="0" fillId="0" borderId="0" xfId="0" applyAlignment="1">
      <alignment horizontal="center"/>
    </xf>
    <xf numFmtId="0" fontId="20" fillId="0" borderId="0" xfId="0" applyFont="1" applyAlignment="1">
      <alignment horizontal="center" vertical="center"/>
    </xf>
    <xf numFmtId="0" fontId="39" fillId="0" borderId="9" xfId="0" applyFont="1" applyBorder="1" applyAlignment="1">
      <alignment horizontal="center" vertical="center" wrapText="1"/>
    </xf>
    <xf numFmtId="0" fontId="39" fillId="0" borderId="9" xfId="0" applyFont="1" applyBorder="1" applyAlignment="1">
      <alignment horizontal="center" vertical="top" wrapText="1"/>
    </xf>
    <xf numFmtId="0" fontId="39" fillId="0" borderId="9" xfId="0" applyNumberFormat="1" applyFont="1" applyBorder="1" applyAlignment="1">
      <alignment horizontal="center"/>
    </xf>
    <xf numFmtId="0" fontId="39" fillId="0" borderId="9" xfId="0" applyNumberFormat="1" applyFont="1" applyBorder="1" applyAlignment="1">
      <alignment horizontal="center" vertical="center"/>
    </xf>
    <xf numFmtId="0" fontId="40" fillId="0" borderId="9" xfId="0" applyNumberFormat="1" applyFont="1" applyBorder="1" applyAlignment="1">
      <alignment horizontal="center"/>
    </xf>
    <xf numFmtId="0" fontId="1" fillId="0" borderId="9" xfId="0" applyNumberFormat="1" applyFont="1" applyBorder="1" applyAlignment="1">
      <alignment horizontal="center"/>
    </xf>
    <xf numFmtId="0" fontId="41" fillId="0" borderId="0" xfId="0" applyFont="1" applyFill="1" applyBorder="1" applyAlignment="1">
      <alignment horizontal="left" vertical="center" wrapText="1"/>
    </xf>
    <xf numFmtId="0" fontId="40" fillId="0" borderId="0" xfId="0" applyNumberFormat="1" applyFont="1" applyBorder="1" applyAlignment="1"/>
    <xf numFmtId="0" fontId="39" fillId="0" borderId="34" xfId="0" applyFont="1" applyBorder="1" applyAlignment="1">
      <alignment horizontal="left" vertical="center" wrapText="1"/>
    </xf>
    <xf numFmtId="0" fontId="40" fillId="0" borderId="34" xfId="0" applyFont="1" applyBorder="1" applyAlignment="1">
      <alignment horizontal="left" vertical="center" wrapText="1"/>
    </xf>
    <xf numFmtId="0" fontId="39" fillId="0" borderId="35" xfId="0" applyNumberFormat="1" applyFont="1" applyBorder="1" applyAlignment="1">
      <alignment horizontal="center"/>
    </xf>
    <xf numFmtId="0" fontId="39" fillId="0" borderId="35" xfId="0" applyNumberFormat="1" applyFont="1" applyBorder="1" applyAlignment="1">
      <alignment horizontal="center" vertical="center"/>
    </xf>
    <xf numFmtId="0" fontId="39" fillId="0" borderId="36" xfId="0" applyFont="1" applyBorder="1" applyAlignment="1">
      <alignment horizontal="left" vertical="center" wrapText="1"/>
    </xf>
    <xf numFmtId="0" fontId="39" fillId="0" borderId="13" xfId="0" applyNumberFormat="1" applyFont="1" applyBorder="1" applyAlignment="1">
      <alignment horizontal="center"/>
    </xf>
    <xf numFmtId="0" fontId="39" fillId="0" borderId="37" xfId="0" applyNumberFormat="1" applyFont="1" applyBorder="1" applyAlignment="1">
      <alignment horizontal="center"/>
    </xf>
    <xf numFmtId="0" fontId="39" fillId="0" borderId="38" xfId="0" applyFont="1" applyBorder="1" applyAlignment="1">
      <alignment horizontal="left" vertical="center" wrapText="1"/>
    </xf>
    <xf numFmtId="0" fontId="39" fillId="0" borderId="11" xfId="0" applyNumberFormat="1" applyFont="1" applyBorder="1" applyAlignment="1">
      <alignment horizontal="center"/>
    </xf>
    <xf numFmtId="0" fontId="39" fillId="0" borderId="39" xfId="0" applyNumberFormat="1" applyFont="1" applyBorder="1" applyAlignment="1">
      <alignment horizontal="center"/>
    </xf>
    <xf numFmtId="0" fontId="6" fillId="0" borderId="0" xfId="0" applyFont="1" applyAlignment="1">
      <alignment horizontal="left" vertical="center"/>
    </xf>
    <xf numFmtId="0" fontId="24" fillId="2" borderId="7"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24" fillId="4" borderId="9" xfId="0" applyFont="1" applyFill="1" applyBorder="1" applyAlignment="1" applyProtection="1">
      <alignment horizontal="center" vertical="center"/>
      <protection locked="0"/>
    </xf>
    <xf numFmtId="1" fontId="24" fillId="2" borderId="7" xfId="0" applyNumberFormat="1" applyFont="1" applyFill="1" applyBorder="1" applyAlignment="1" applyProtection="1">
      <alignment horizontal="center" vertical="center"/>
      <protection locked="0"/>
    </xf>
    <xf numFmtId="2" fontId="24" fillId="2" borderId="7" xfId="0" applyNumberFormat="1" applyFont="1" applyFill="1" applyBorder="1" applyAlignment="1" applyProtection="1">
      <alignment horizontal="center" vertical="center"/>
      <protection locked="0"/>
    </xf>
    <xf numFmtId="0" fontId="52" fillId="0" borderId="0" xfId="0" applyFont="1"/>
    <xf numFmtId="0" fontId="0" fillId="0" borderId="1"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53" fillId="0" borderId="0" xfId="1" applyAlignment="1" applyProtection="1">
      <alignment vertical="center"/>
      <protection locked="0"/>
    </xf>
    <xf numFmtId="0" fontId="4" fillId="0" borderId="1" xfId="0" applyFont="1" applyFill="1" applyBorder="1" applyAlignment="1" applyProtection="1">
      <alignment horizontal="left" vertical="center"/>
      <protection locked="0"/>
    </xf>
    <xf numFmtId="0" fontId="0" fillId="0" borderId="0" xfId="0" applyProtection="1">
      <protection locked="0"/>
    </xf>
    <xf numFmtId="0" fontId="4" fillId="0" borderId="4" xfId="0" applyFont="1" applyFill="1" applyBorder="1" applyAlignment="1" applyProtection="1">
      <alignment vertical="center"/>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Fill="1" applyBorder="1" applyAlignment="1" applyProtection="1">
      <alignment horizontal="center" vertical="center"/>
      <protection locked="0"/>
    </xf>
    <xf numFmtId="0" fontId="6" fillId="0" borderId="0" xfId="0" applyFont="1" applyFill="1" applyBorder="1" applyAlignment="1" applyProtection="1">
      <alignment horizontal="left" vertical="center"/>
      <protection locked="0"/>
    </xf>
    <xf numFmtId="0" fontId="0" fillId="0" borderId="0" xfId="0" applyFill="1" applyBorder="1" applyProtection="1">
      <protection locked="0"/>
    </xf>
    <xf numFmtId="0" fontId="0" fillId="0" borderId="0" xfId="0" applyAlignment="1" applyProtection="1">
      <alignment horizontal="left"/>
      <protection locked="0"/>
    </xf>
    <xf numFmtId="0" fontId="9" fillId="0" borderId="9" xfId="0" applyFont="1" applyBorder="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9" fillId="5" borderId="9" xfId="0" applyFont="1" applyFill="1" applyBorder="1" applyAlignment="1" applyProtection="1">
      <alignment horizontal="center" vertical="center"/>
      <protection locked="0"/>
    </xf>
    <xf numFmtId="0" fontId="0" fillId="0" borderId="0" xfId="0" applyAlignment="1" applyProtection="1">
      <alignment vertical="top"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protection locked="0"/>
    </xf>
    <xf numFmtId="0" fontId="2" fillId="0" borderId="0" xfId="0" applyFont="1" applyProtection="1">
      <protection locked="0"/>
    </xf>
    <xf numFmtId="0" fontId="0" fillId="0" borderId="0" xfId="0" applyAlignment="1" applyProtection="1">
      <alignment horizontal="left" vertical="top" wrapText="1"/>
      <protection locked="0"/>
    </xf>
    <xf numFmtId="0" fontId="0" fillId="0" borderId="0" xfId="0" applyFont="1" applyBorder="1" applyAlignment="1" applyProtection="1">
      <alignment vertical="center"/>
      <protection locked="0"/>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center"/>
      <protection locked="0"/>
    </xf>
    <xf numFmtId="0" fontId="9" fillId="0" borderId="0" xfId="0" applyFont="1" applyProtection="1">
      <protection locked="0"/>
    </xf>
    <xf numFmtId="0" fontId="9" fillId="0" borderId="0" xfId="0" applyFont="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165" fontId="9" fillId="3" borderId="0" xfId="0" applyNumberFormat="1" applyFont="1" applyFill="1" applyAlignment="1" applyProtection="1">
      <alignment horizontal="center" vertical="center" wrapText="1"/>
      <protection locked="0"/>
    </xf>
    <xf numFmtId="0" fontId="6" fillId="0" borderId="0" xfId="0" applyFont="1" applyAlignment="1" applyProtection="1">
      <alignment horizontal="left" vertical="top" wrapText="1"/>
      <protection locked="0"/>
    </xf>
    <xf numFmtId="165" fontId="17" fillId="0" borderId="0" xfId="0" applyNumberFormat="1" applyFont="1" applyFill="1" applyAlignment="1" applyProtection="1">
      <alignment horizontal="center" vertical="center" wrapText="1"/>
      <protection locked="0"/>
    </xf>
    <xf numFmtId="2" fontId="17" fillId="0" borderId="0" xfId="0" applyNumberFormat="1" applyFont="1" applyFill="1" applyAlignment="1" applyProtection="1">
      <alignment horizontal="center" vertical="center" wrapText="1"/>
      <protection locked="0"/>
    </xf>
    <xf numFmtId="0" fontId="6" fillId="0" borderId="0" xfId="0" applyFont="1" applyProtection="1">
      <protection locked="0"/>
    </xf>
    <xf numFmtId="0" fontId="9"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6" fillId="0" borderId="0" xfId="0" applyFont="1" applyBorder="1" applyAlignment="1" applyProtection="1">
      <alignment vertical="center" wrapText="1"/>
      <protection locked="0"/>
    </xf>
    <xf numFmtId="2" fontId="6" fillId="0" borderId="0" xfId="0" applyNumberFormat="1" applyFont="1" applyFill="1" applyBorder="1" applyAlignment="1" applyProtection="1">
      <alignment vertical="center" wrapText="1"/>
      <protection locked="0"/>
    </xf>
    <xf numFmtId="0" fontId="6" fillId="0" borderId="0" xfId="0" applyFont="1" applyAlignment="1" applyProtection="1">
      <alignment vertical="center" wrapText="1"/>
      <protection locked="0"/>
    </xf>
    <xf numFmtId="0" fontId="0" fillId="0" borderId="0" xfId="0" applyBorder="1" applyAlignment="1" applyProtection="1">
      <alignment horizontal="left" vertical="top" wrapText="1"/>
      <protection locked="0"/>
    </xf>
    <xf numFmtId="2" fontId="18" fillId="0" borderId="0" xfId="0" applyNumberFormat="1" applyFont="1" applyFill="1" applyBorder="1" applyAlignment="1" applyProtection="1">
      <alignment vertical="center" wrapText="1"/>
      <protection locked="0"/>
    </xf>
    <xf numFmtId="0" fontId="19" fillId="0" borderId="0" xfId="0" applyFont="1" applyAlignment="1" applyProtection="1">
      <alignment vertical="center" wrapText="1"/>
      <protection locked="0"/>
    </xf>
    <xf numFmtId="0" fontId="9" fillId="0" borderId="0" xfId="0" applyFont="1" applyFill="1" applyBorder="1" applyAlignment="1" applyProtection="1">
      <alignment horizontal="center" vertical="center"/>
      <protection locked="0"/>
    </xf>
    <xf numFmtId="2" fontId="0" fillId="0" borderId="0" xfId="0" applyNumberFormat="1" applyFill="1" applyBorder="1" applyAlignment="1" applyProtection="1">
      <alignment horizontal="center" vertical="center" wrapText="1"/>
      <protection locked="0"/>
    </xf>
    <xf numFmtId="0" fontId="2" fillId="0" borderId="0" xfId="0" applyFont="1" applyFill="1" applyBorder="1" applyAlignment="1" applyProtection="1">
      <alignment vertical="center" wrapText="1"/>
      <protection locked="0"/>
    </xf>
    <xf numFmtId="0" fontId="9" fillId="3" borderId="10" xfId="0" applyNumberFormat="1" applyFont="1" applyFill="1" applyBorder="1" applyAlignment="1" applyProtection="1">
      <alignment horizontal="center" vertical="center"/>
    </xf>
    <xf numFmtId="0" fontId="0" fillId="3" borderId="0" xfId="0" applyFill="1" applyBorder="1" applyAlignment="1" applyProtection="1">
      <alignment horizontal="center" vertical="center"/>
    </xf>
    <xf numFmtId="2" fontId="2" fillId="3" borderId="0" xfId="0" applyNumberFormat="1" applyFont="1" applyFill="1" applyAlignment="1" applyProtection="1">
      <alignment horizontal="center" vertical="center" wrapText="1"/>
    </xf>
    <xf numFmtId="2" fontId="9" fillId="3" borderId="0" xfId="0" applyNumberFormat="1" applyFont="1" applyFill="1" applyAlignment="1" applyProtection="1">
      <alignment horizontal="center" vertical="center" wrapText="1"/>
    </xf>
    <xf numFmtId="2" fontId="6" fillId="3" borderId="29"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0" fillId="0" borderId="0" xfId="0" applyAlignment="1" applyProtection="1">
      <protection locked="0"/>
    </xf>
    <xf numFmtId="2" fontId="24" fillId="3" borderId="0" xfId="0" applyNumberFormat="1" applyFont="1" applyFill="1" applyAlignment="1" applyProtection="1">
      <alignment horizontal="center" vertical="center"/>
      <protection locked="0"/>
    </xf>
    <xf numFmtId="2" fontId="24" fillId="0" borderId="0" xfId="0" applyNumberFormat="1" applyFont="1" applyFill="1" applyBorder="1" applyAlignment="1" applyProtection="1">
      <alignment horizontal="center" vertical="center"/>
      <protection locked="0"/>
    </xf>
    <xf numFmtId="2" fontId="24" fillId="0" borderId="0" xfId="0" applyNumberFormat="1" applyFont="1" applyFill="1" applyBorder="1" applyAlignment="1" applyProtection="1">
      <alignment horizontal="left" vertical="center"/>
      <protection locked="0"/>
    </xf>
    <xf numFmtId="0" fontId="6" fillId="0" borderId="7" xfId="0" applyFont="1" applyFill="1" applyBorder="1" applyAlignment="1" applyProtection="1">
      <alignment horizontal="center" vertical="center"/>
      <protection locked="0"/>
    </xf>
    <xf numFmtId="2" fontId="0" fillId="0" borderId="0" xfId="0" applyNumberFormat="1" applyProtection="1">
      <protection locked="0"/>
    </xf>
    <xf numFmtId="2" fontId="6" fillId="3" borderId="29"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166" fontId="6" fillId="3" borderId="29" xfId="0" applyNumberFormat="1" applyFont="1" applyFill="1" applyBorder="1" applyAlignment="1" applyProtection="1">
      <alignment horizontal="center" vertical="center" wrapText="1"/>
      <protection locked="0"/>
    </xf>
    <xf numFmtId="0" fontId="6" fillId="0" borderId="0" xfId="0" applyFont="1" applyAlignment="1" applyProtection="1">
      <alignment horizontal="left"/>
      <protection locked="0"/>
    </xf>
    <xf numFmtId="0" fontId="9" fillId="0" borderId="0" xfId="0" applyFont="1" applyAlignment="1" applyProtection="1">
      <alignment horizontal="left"/>
      <protection locked="0"/>
    </xf>
    <xf numFmtId="0" fontId="9" fillId="0" borderId="0" xfId="0" applyFont="1" applyAlignment="1" applyProtection="1">
      <protection locked="0"/>
    </xf>
    <xf numFmtId="0" fontId="6"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6" fillId="0" borderId="0" xfId="0" applyFont="1" applyFill="1" applyBorder="1" applyAlignment="1" applyProtection="1">
      <protection locked="0"/>
    </xf>
    <xf numFmtId="167" fontId="9" fillId="3" borderId="0" xfId="0" applyNumberFormat="1" applyFont="1" applyFill="1" applyAlignment="1" applyProtection="1">
      <alignment horizontal="center" vertical="center"/>
      <protection locked="0"/>
    </xf>
    <xf numFmtId="0" fontId="9" fillId="0" borderId="0" xfId="0" applyFont="1" applyFill="1" applyBorder="1" applyAlignment="1" applyProtection="1">
      <alignment vertical="center"/>
      <protection locked="0"/>
    </xf>
    <xf numFmtId="2" fontId="6" fillId="0" borderId="0" xfId="0" applyNumberFormat="1" applyFont="1" applyFill="1" applyBorder="1" applyAlignment="1" applyProtection="1">
      <alignment horizontal="center" vertical="center"/>
      <protection locked="0"/>
    </xf>
    <xf numFmtId="1" fontId="24" fillId="3" borderId="0" xfId="0" applyNumberFormat="1" applyFont="1" applyFill="1" applyAlignment="1" applyProtection="1">
      <alignment horizontal="center" vertical="center"/>
    </xf>
    <xf numFmtId="0" fontId="6" fillId="3" borderId="0" xfId="0" applyFont="1" applyFill="1" applyBorder="1" applyAlignment="1" applyProtection="1">
      <alignment horizontal="center" vertical="center"/>
    </xf>
    <xf numFmtId="2" fontId="24" fillId="3" borderId="0" xfId="0" applyNumberFormat="1" applyFont="1" applyFill="1" applyAlignment="1" applyProtection="1">
      <alignment horizontal="center" vertical="center"/>
    </xf>
    <xf numFmtId="2" fontId="6" fillId="3" borderId="0" xfId="0" applyNumberFormat="1" applyFont="1" applyFill="1" applyBorder="1" applyAlignment="1" applyProtection="1">
      <alignment horizontal="center" vertical="center"/>
    </xf>
    <xf numFmtId="2" fontId="6" fillId="3" borderId="29" xfId="0" applyNumberFormat="1" applyFont="1" applyFill="1" applyBorder="1" applyAlignment="1" applyProtection="1">
      <alignment horizontal="center" vertical="center"/>
    </xf>
    <xf numFmtId="0" fontId="45" fillId="0" borderId="1" xfId="0" applyFont="1" applyFill="1" applyBorder="1" applyAlignment="1" applyProtection="1">
      <alignment horizontal="left" vertical="center"/>
      <protection locked="0"/>
    </xf>
    <xf numFmtId="0" fontId="27" fillId="0" borderId="0" xfId="0" applyFont="1" applyProtection="1">
      <protection locked="0"/>
    </xf>
    <xf numFmtId="0" fontId="45" fillId="0" borderId="4" xfId="0" applyFont="1" applyFill="1" applyBorder="1" applyAlignment="1" applyProtection="1">
      <alignment vertical="center"/>
      <protection locked="0"/>
    </xf>
    <xf numFmtId="0" fontId="24" fillId="0" borderId="0" xfId="0" applyFont="1" applyAlignment="1" applyProtection="1">
      <alignment vertical="center"/>
      <protection locked="0"/>
    </xf>
    <xf numFmtId="0" fontId="37" fillId="0" borderId="0" xfId="0" applyFont="1" applyProtection="1">
      <protection locked="0"/>
    </xf>
    <xf numFmtId="0" fontId="24" fillId="0" borderId="0" xfId="0" applyFont="1" applyFill="1" applyBorder="1" applyAlignment="1" applyProtection="1">
      <alignment horizontal="center" vertical="center"/>
      <protection locked="0"/>
    </xf>
    <xf numFmtId="0" fontId="24" fillId="0" borderId="0" xfId="0" applyFont="1" applyProtection="1">
      <protection locked="0"/>
    </xf>
    <xf numFmtId="0" fontId="24" fillId="0" borderId="0" xfId="0" applyFont="1" applyAlignment="1" applyProtection="1">
      <alignment horizontal="left" vertical="center"/>
      <protection locked="0"/>
    </xf>
    <xf numFmtId="0" fontId="27" fillId="0" borderId="0" xfId="0" applyFont="1" applyFill="1" applyAlignment="1" applyProtection="1">
      <alignment horizontal="center" vertical="center"/>
      <protection locked="0"/>
    </xf>
    <xf numFmtId="0" fontId="36" fillId="0" borderId="0" xfId="0" applyFont="1" applyProtection="1">
      <protection locked="0"/>
    </xf>
    <xf numFmtId="0" fontId="24" fillId="0" borderId="0" xfId="0" applyFont="1" applyAlignment="1" applyProtection="1">
      <alignment horizontal="center" vertical="center"/>
      <protection locked="0"/>
    </xf>
    <xf numFmtId="0" fontId="48" fillId="0" borderId="0" xfId="0" applyFont="1" applyAlignment="1" applyProtection="1">
      <alignment horizontal="center"/>
      <protection locked="0"/>
    </xf>
    <xf numFmtId="0" fontId="48" fillId="0" borderId="0" xfId="0" applyFont="1" applyAlignment="1" applyProtection="1">
      <alignment horizontal="center" vertical="center"/>
      <protection locked="0"/>
    </xf>
    <xf numFmtId="165" fontId="24" fillId="3" borderId="0" xfId="0" applyNumberFormat="1" applyFont="1" applyFill="1" applyAlignment="1" applyProtection="1">
      <alignment horizontal="center" vertical="center"/>
      <protection locked="0"/>
    </xf>
    <xf numFmtId="0" fontId="24" fillId="0" borderId="0" xfId="0" applyFont="1" applyAlignment="1" applyProtection="1">
      <alignment horizontal="center"/>
      <protection locked="0"/>
    </xf>
    <xf numFmtId="0" fontId="24" fillId="0" borderId="0"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0" xfId="0" applyFont="1" applyAlignment="1" applyProtection="1">
      <alignment horizontal="left"/>
      <protection locked="0"/>
    </xf>
    <xf numFmtId="0" fontId="27" fillId="0" borderId="0" xfId="0" applyFont="1" applyBorder="1" applyProtection="1">
      <protection locked="0"/>
    </xf>
    <xf numFmtId="0" fontId="48" fillId="0" borderId="2"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6" xfId="0" applyFont="1" applyBorder="1" applyAlignment="1" applyProtection="1">
      <alignment horizontal="left" vertical="center"/>
      <protection locked="0"/>
    </xf>
    <xf numFmtId="0" fontId="48" fillId="0" borderId="0" xfId="0" applyFont="1" applyBorder="1" applyAlignment="1" applyProtection="1">
      <alignment horizontal="center" vertical="center"/>
      <protection locked="0"/>
    </xf>
    <xf numFmtId="0" fontId="24" fillId="0" borderId="0" xfId="0" applyFont="1" applyFill="1" applyAlignment="1" applyProtection="1">
      <alignment horizontal="center" vertical="center"/>
      <protection locked="0"/>
    </xf>
    <xf numFmtId="0" fontId="48" fillId="0" borderId="0" xfId="0" applyFont="1" applyAlignment="1" applyProtection="1">
      <alignment vertical="center"/>
      <protection locked="0"/>
    </xf>
    <xf numFmtId="0" fontId="24" fillId="0" borderId="0" xfId="0" applyFont="1" applyBorder="1" applyAlignment="1" applyProtection="1">
      <alignment vertical="center"/>
      <protection locked="0"/>
    </xf>
    <xf numFmtId="0" fontId="27" fillId="0" borderId="0" xfId="0" applyFont="1" applyAlignment="1" applyProtection="1">
      <protection locked="0"/>
    </xf>
    <xf numFmtId="0" fontId="24" fillId="3" borderId="0" xfId="0" applyFont="1" applyFill="1" applyAlignment="1" applyProtection="1">
      <alignment horizontal="center" vertical="center"/>
      <protection locked="0"/>
    </xf>
    <xf numFmtId="164" fontId="24" fillId="3" borderId="0" xfId="0" applyNumberFormat="1" applyFont="1" applyFill="1" applyAlignment="1" applyProtection="1">
      <alignment horizontal="center" vertical="center"/>
      <protection locked="0"/>
    </xf>
    <xf numFmtId="164" fontId="24" fillId="0" borderId="0" xfId="0" applyNumberFormat="1" applyFont="1" applyFill="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center"/>
      <protection locked="0"/>
    </xf>
    <xf numFmtId="1" fontId="27" fillId="0" borderId="0" xfId="0" applyNumberFormat="1" applyFont="1" applyAlignment="1" applyProtection="1">
      <alignment horizontal="center"/>
      <protection locked="0"/>
    </xf>
    <xf numFmtId="0" fontId="24" fillId="0" borderId="0" xfId="0" applyFont="1" applyAlignment="1" applyProtection="1">
      <protection locked="0"/>
    </xf>
    <xf numFmtId="0" fontId="34" fillId="0" borderId="0" xfId="0" applyFont="1" applyAlignment="1" applyProtection="1">
      <alignment horizontal="left" vertical="top" wrapText="1"/>
      <protection locked="0"/>
    </xf>
    <xf numFmtId="2" fontId="27" fillId="0" borderId="0" xfId="0" applyNumberFormat="1" applyFont="1" applyAlignment="1" applyProtection="1">
      <alignment horizontal="center" vertical="center"/>
      <protection locked="0"/>
    </xf>
    <xf numFmtId="2" fontId="27" fillId="0" borderId="0" xfId="0" applyNumberFormat="1" applyFont="1" applyAlignment="1" applyProtection="1">
      <protection locked="0"/>
    </xf>
    <xf numFmtId="2" fontId="27" fillId="0" borderId="0" xfId="0" applyNumberFormat="1" applyFont="1" applyAlignment="1" applyProtection="1">
      <alignment horizontal="center"/>
      <protection locked="0"/>
    </xf>
    <xf numFmtId="0" fontId="36" fillId="0" borderId="0" xfId="0" applyFont="1" applyAlignment="1" applyProtection="1">
      <alignment horizontal="left" vertical="center"/>
      <protection locked="0"/>
    </xf>
    <xf numFmtId="0" fontId="24" fillId="0" borderId="0" xfId="0" applyFont="1" applyFill="1" applyBorder="1" applyAlignment="1" applyProtection="1">
      <alignment vertical="center"/>
      <protection locked="0"/>
    </xf>
    <xf numFmtId="0" fontId="24" fillId="0" borderId="0" xfId="0" applyFont="1" applyFill="1" applyAlignment="1" applyProtection="1">
      <alignment vertical="center"/>
      <protection locked="0"/>
    </xf>
    <xf numFmtId="0" fontId="51" fillId="0" borderId="0" xfId="0" applyFont="1" applyAlignment="1" applyProtection="1">
      <alignment vertical="top" wrapText="1"/>
      <protection locked="0"/>
    </xf>
    <xf numFmtId="0" fontId="34" fillId="0" borderId="0" xfId="0" applyFont="1" applyAlignment="1" applyProtection="1">
      <alignment horizontal="left" vertical="center"/>
      <protection locked="0"/>
    </xf>
    <xf numFmtId="0" fontId="27" fillId="0" borderId="0" xfId="0" applyFont="1" applyFill="1" applyProtection="1">
      <protection locked="0"/>
    </xf>
    <xf numFmtId="0" fontId="27" fillId="0" borderId="0" xfId="0" applyFont="1" applyFill="1" applyAlignment="1" applyProtection="1">
      <alignment horizontal="center"/>
      <protection locked="0"/>
    </xf>
    <xf numFmtId="0" fontId="38" fillId="0" borderId="0" xfId="0" applyFont="1" applyFill="1" applyAlignment="1" applyProtection="1">
      <alignment horizontal="center" vertical="center"/>
      <protection locked="0"/>
    </xf>
    <xf numFmtId="0" fontId="37" fillId="0" borderId="0" xfId="0" applyFont="1" applyAlignment="1" applyProtection="1">
      <alignment vertical="center"/>
      <protection locked="0"/>
    </xf>
    <xf numFmtId="1" fontId="37" fillId="0" borderId="0" xfId="0" applyNumberFormat="1" applyFont="1" applyAlignment="1" applyProtection="1">
      <alignment horizontal="center" vertical="center"/>
      <protection locked="0"/>
    </xf>
    <xf numFmtId="2" fontId="27" fillId="0" borderId="0" xfId="0" applyNumberFormat="1" applyFont="1" applyFill="1" applyAlignment="1" applyProtection="1">
      <alignment horizontal="center" vertical="center"/>
      <protection locked="0"/>
    </xf>
    <xf numFmtId="164" fontId="27" fillId="0" borderId="0" xfId="0" applyNumberFormat="1" applyFont="1" applyFill="1" applyAlignment="1" applyProtection="1">
      <alignment horizontal="center" vertical="center"/>
      <protection locked="0"/>
    </xf>
    <xf numFmtId="2" fontId="27" fillId="0" borderId="0" xfId="0" applyNumberFormat="1" applyFont="1" applyFill="1" applyAlignment="1" applyProtection="1">
      <alignment horizontal="center"/>
      <protection locked="0"/>
    </xf>
    <xf numFmtId="165" fontId="27" fillId="0" borderId="0" xfId="0" applyNumberFormat="1" applyFont="1" applyFill="1" applyAlignment="1" applyProtection="1">
      <alignment horizontal="center" vertical="center"/>
      <protection locked="0"/>
    </xf>
    <xf numFmtId="166" fontId="27" fillId="0" borderId="0" xfId="0" applyNumberFormat="1" applyFont="1" applyFill="1" applyAlignment="1" applyProtection="1">
      <alignment horizontal="center" vertical="center"/>
      <protection locked="0"/>
    </xf>
    <xf numFmtId="1" fontId="27" fillId="0" borderId="0" xfId="0" applyNumberFormat="1" applyFont="1" applyFill="1" applyProtection="1">
      <protection locked="0"/>
    </xf>
    <xf numFmtId="0" fontId="36" fillId="0" borderId="0" xfId="0" applyFont="1" applyFill="1" applyAlignment="1" applyProtection="1">
      <alignment horizontal="left" vertical="center"/>
      <protection locked="0"/>
    </xf>
    <xf numFmtId="0" fontId="36" fillId="0" borderId="0" xfId="0" applyFont="1" applyFill="1" applyProtection="1">
      <protection locked="0"/>
    </xf>
    <xf numFmtId="0" fontId="27" fillId="0" borderId="0" xfId="0" applyFont="1" applyFill="1" applyBorder="1" applyAlignment="1" applyProtection="1">
      <alignment horizontal="center" vertical="center"/>
      <protection locked="0"/>
    </xf>
    <xf numFmtId="164" fontId="27" fillId="0" borderId="0" xfId="0" applyNumberFormat="1" applyFont="1" applyFill="1" applyAlignment="1" applyProtection="1">
      <alignment horizontal="center"/>
      <protection locked="0"/>
    </xf>
    <xf numFmtId="0" fontId="27" fillId="0" borderId="0" xfId="0" applyFont="1" applyAlignment="1" applyProtection="1">
      <alignment vertical="top" wrapText="1"/>
      <protection locked="0"/>
    </xf>
    <xf numFmtId="0" fontId="27" fillId="0" borderId="0" xfId="0" applyFont="1" applyFill="1" applyBorder="1" applyAlignment="1" applyProtection="1">
      <protection locked="0"/>
    </xf>
    <xf numFmtId="0" fontId="27" fillId="0" borderId="0" xfId="0" applyFont="1" applyFill="1" applyBorder="1" applyProtection="1">
      <protection locked="0"/>
    </xf>
    <xf numFmtId="164" fontId="27" fillId="0" borderId="0" xfId="0" applyNumberFormat="1" applyFont="1" applyAlignment="1" applyProtection="1">
      <alignment horizontal="center"/>
      <protection locked="0"/>
    </xf>
    <xf numFmtId="0" fontId="36" fillId="0" borderId="0" xfId="0" applyFont="1" applyFill="1" applyBorder="1" applyAlignment="1" applyProtection="1">
      <alignment horizontal="left" vertical="center"/>
      <protection locked="0"/>
    </xf>
    <xf numFmtId="0" fontId="36" fillId="0" borderId="0" xfId="0" applyFont="1" applyFill="1" applyBorder="1" applyAlignment="1" applyProtection="1">
      <alignment vertical="center"/>
      <protection locked="0"/>
    </xf>
    <xf numFmtId="0" fontId="27" fillId="0" borderId="0" xfId="0" quotePrefix="1" applyFont="1" applyFill="1" applyBorder="1" applyAlignment="1" applyProtection="1">
      <protection locked="0"/>
    </xf>
    <xf numFmtId="0" fontId="27" fillId="0" borderId="0" xfId="0" applyNumberFormat="1" applyFont="1" applyFill="1" applyProtection="1">
      <protection locked="0"/>
    </xf>
    <xf numFmtId="0" fontId="27" fillId="0" borderId="0" xfId="0" applyFont="1" applyFill="1" applyBorder="1" applyAlignment="1" applyProtection="1">
      <alignment horizontal="left" vertical="center"/>
      <protection locked="0"/>
    </xf>
    <xf numFmtId="164" fontId="27" fillId="0" borderId="0" xfId="0" applyNumberFormat="1" applyFont="1" applyFill="1" applyBorder="1" applyAlignment="1" applyProtection="1">
      <alignment horizontal="center" vertical="center"/>
      <protection locked="0"/>
    </xf>
    <xf numFmtId="166" fontId="27" fillId="0" borderId="0" xfId="0" applyNumberFormat="1" applyFont="1" applyFill="1" applyBorder="1" applyAlignment="1" applyProtection="1">
      <alignment horizontal="center" vertical="center"/>
      <protection locked="0"/>
    </xf>
    <xf numFmtId="1" fontId="27" fillId="0" borderId="0" xfId="0" applyNumberFormat="1" applyFont="1" applyFill="1" applyBorder="1" applyAlignment="1" applyProtection="1">
      <alignment horizontal="center" vertical="center"/>
      <protection locked="0"/>
    </xf>
    <xf numFmtId="2" fontId="27" fillId="0" borderId="0" xfId="0" applyNumberFormat="1" applyFont="1" applyFill="1" applyBorder="1" applyAlignment="1" applyProtection="1">
      <alignment horizontal="center" vertical="center"/>
      <protection locked="0"/>
    </xf>
    <xf numFmtId="2" fontId="27" fillId="0" borderId="0" xfId="0" applyNumberFormat="1" applyFont="1" applyFill="1" applyBorder="1" applyAlignment="1" applyProtection="1">
      <alignment horizontal="center"/>
      <protection locked="0"/>
    </xf>
    <xf numFmtId="1" fontId="27" fillId="0" borderId="0" xfId="0" applyNumberFormat="1" applyFont="1" applyFill="1" applyAlignment="1" applyProtection="1">
      <alignment horizontal="center" vertical="center"/>
      <protection locked="0"/>
    </xf>
    <xf numFmtId="166" fontId="24" fillId="3" borderId="0" xfId="0" applyNumberFormat="1" applyFont="1" applyFill="1" applyAlignment="1" applyProtection="1">
      <alignment horizontal="center" vertical="center"/>
    </xf>
    <xf numFmtId="0" fontId="24" fillId="3" borderId="9" xfId="0" applyFont="1" applyFill="1" applyBorder="1" applyAlignment="1" applyProtection="1">
      <alignment horizontal="center" vertical="center"/>
    </xf>
    <xf numFmtId="2" fontId="24" fillId="3" borderId="10" xfId="0" applyNumberFormat="1" applyFont="1" applyFill="1" applyBorder="1" applyAlignment="1" applyProtection="1">
      <alignment horizontal="center" vertical="center"/>
    </xf>
    <xf numFmtId="2" fontId="24" fillId="3" borderId="0" xfId="0" applyNumberFormat="1" applyFont="1" applyFill="1" applyBorder="1" applyAlignment="1" applyProtection="1">
      <alignment horizontal="center" vertical="center"/>
    </xf>
    <xf numFmtId="2" fontId="24" fillId="3" borderId="29" xfId="0" applyNumberFormat="1" applyFont="1" applyFill="1" applyBorder="1" applyAlignment="1" applyProtection="1">
      <alignment horizontal="center" vertical="center"/>
    </xf>
    <xf numFmtId="2" fontId="24" fillId="3" borderId="0" xfId="0" applyNumberFormat="1" applyFont="1" applyFill="1" applyAlignment="1" applyProtection="1">
      <alignment horizontal="center"/>
    </xf>
    <xf numFmtId="0" fontId="6" fillId="0" borderId="0" xfId="0" applyFont="1" applyAlignment="1" applyProtection="1">
      <alignment horizontal="left" vertical="center"/>
      <protection locked="0"/>
    </xf>
    <xf numFmtId="0" fontId="5" fillId="0" borderId="27" xfId="0" applyFont="1" applyBorder="1" applyAlignment="1">
      <alignment horizontal="center" vertical="center"/>
    </xf>
    <xf numFmtId="0" fontId="0" fillId="3" borderId="47" xfId="0" applyFill="1" applyBorder="1" applyAlignment="1">
      <alignment horizontal="center"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35"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4" borderId="30" xfId="0" applyFill="1" applyBorder="1" applyAlignment="1" applyProtection="1">
      <alignment horizontal="center"/>
      <protection locked="0"/>
    </xf>
    <xf numFmtId="0" fontId="0" fillId="4" borderId="31" xfId="0" applyFill="1" applyBorder="1" applyAlignment="1" applyProtection="1">
      <alignment horizontal="center"/>
      <protection locked="0"/>
    </xf>
    <xf numFmtId="0" fontId="0" fillId="4" borderId="33" xfId="0" applyFill="1" applyBorder="1" applyAlignment="1" applyProtection="1">
      <alignment horizontal="center"/>
      <protection locked="0"/>
    </xf>
    <xf numFmtId="0" fontId="0" fillId="3" borderId="31" xfId="0" applyFill="1" applyBorder="1" applyAlignment="1" applyProtection="1">
      <alignment horizontal="center"/>
    </xf>
    <xf numFmtId="0" fontId="0" fillId="3" borderId="32" xfId="0" applyFill="1" applyBorder="1" applyAlignment="1" applyProtection="1">
      <alignment horizontal="center"/>
    </xf>
    <xf numFmtId="0" fontId="15" fillId="0" borderId="23" xfId="0" applyFont="1" applyBorder="1" applyAlignment="1" applyProtection="1">
      <alignment horizontal="left" vertical="top" wrapText="1"/>
      <protection locked="0"/>
    </xf>
    <xf numFmtId="0" fontId="15" fillId="0" borderId="24" xfId="0" applyFont="1" applyBorder="1" applyAlignment="1" applyProtection="1">
      <alignment horizontal="left" vertical="top" wrapText="1"/>
      <protection locked="0"/>
    </xf>
    <xf numFmtId="0" fontId="15" fillId="0" borderId="25"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28" xfId="0" applyFont="1" applyBorder="1" applyAlignment="1" applyProtection="1">
      <alignment horizontal="left" vertical="top" wrapText="1"/>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37" fillId="0" borderId="8"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9" fillId="4" borderId="11"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164" fontId="9" fillId="5" borderId="9" xfId="0" applyNumberFormat="1" applyFont="1" applyFill="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3" borderId="12" xfId="0" applyNumberFormat="1" applyFont="1" applyFill="1" applyBorder="1" applyAlignment="1" applyProtection="1">
      <alignment horizontal="center" vertical="center"/>
    </xf>
    <xf numFmtId="0" fontId="9" fillId="3" borderId="14" xfId="0" applyNumberFormat="1" applyFont="1" applyFill="1" applyBorder="1" applyAlignment="1" applyProtection="1">
      <alignment horizontal="center" vertical="center"/>
    </xf>
    <xf numFmtId="0" fontId="9"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protection locked="0"/>
    </xf>
    <xf numFmtId="0" fontId="37"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14" fontId="0" fillId="0" borderId="2" xfId="0" applyNumberFormat="1" applyFont="1" applyFill="1" applyBorder="1" applyAlignment="1" applyProtection="1">
      <alignment horizontal="center" vertical="center"/>
      <protection locked="0"/>
    </xf>
    <xf numFmtId="14" fontId="0" fillId="0" borderId="5"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2"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4" borderId="42" xfId="0" applyFont="1" applyFill="1" applyBorder="1" applyAlignment="1" applyProtection="1">
      <alignment horizontal="center" vertical="center"/>
      <protection locked="0"/>
    </xf>
    <xf numFmtId="0" fontId="6" fillId="4" borderId="41" xfId="0" applyFont="1" applyFill="1" applyBorder="1" applyAlignment="1" applyProtection="1">
      <alignment horizontal="center" vertical="center"/>
      <protection locked="0"/>
    </xf>
    <xf numFmtId="0" fontId="6" fillId="4" borderId="23"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4" borderId="28" xfId="0" applyFont="1" applyFill="1" applyBorder="1" applyAlignment="1" applyProtection="1">
      <alignment horizontal="center" vertical="center" wrapText="1"/>
      <protection locked="0"/>
    </xf>
    <xf numFmtId="0" fontId="6" fillId="4" borderId="43" xfId="0" applyFont="1" applyFill="1" applyBorder="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6" fillId="0" borderId="24" xfId="0" applyFont="1" applyBorder="1" applyAlignment="1" applyProtection="1">
      <alignment horizontal="left" vertical="center" wrapText="1"/>
      <protection locked="0"/>
    </xf>
    <xf numFmtId="0" fontId="6" fillId="2" borderId="42"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9" fillId="0" borderId="0" xfId="0" applyFont="1" applyAlignment="1" applyProtection="1">
      <alignment horizontal="left" wrapText="1"/>
      <protection locked="0"/>
    </xf>
    <xf numFmtId="0" fontId="15"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24" fillId="3" borderId="0" xfId="0" applyFont="1" applyFill="1" applyAlignment="1" applyProtection="1">
      <alignment horizontal="center" vertical="center"/>
      <protection locked="0"/>
    </xf>
    <xf numFmtId="0" fontId="24" fillId="3" borderId="0" xfId="0" applyFont="1" applyFill="1" applyAlignment="1" applyProtection="1">
      <alignment horizontal="center"/>
      <protection locked="0"/>
    </xf>
    <xf numFmtId="0" fontId="24" fillId="0" borderId="24" xfId="0" applyFont="1" applyBorder="1" applyAlignment="1" applyProtection="1">
      <alignment horizontal="center"/>
      <protection locked="0"/>
    </xf>
    <xf numFmtId="0" fontId="45" fillId="0" borderId="2" xfId="0" applyFont="1" applyFill="1" applyBorder="1" applyAlignment="1" applyProtection="1">
      <alignment horizontal="center" vertical="center"/>
      <protection locked="0"/>
    </xf>
    <xf numFmtId="14" fontId="27" fillId="0" borderId="2" xfId="0" applyNumberFormat="1" applyFont="1" applyFill="1" applyBorder="1" applyAlignment="1" applyProtection="1">
      <alignment horizontal="center" vertical="center"/>
      <protection locked="0"/>
    </xf>
    <xf numFmtId="14" fontId="27" fillId="0" borderId="5" xfId="0" applyNumberFormat="1" applyFont="1" applyFill="1" applyBorder="1" applyAlignment="1" applyProtection="1">
      <alignment horizontal="center" vertical="center"/>
      <protection locked="0"/>
    </xf>
    <xf numFmtId="0" fontId="46" fillId="0" borderId="2" xfId="0" applyFont="1" applyFill="1" applyBorder="1" applyAlignment="1" applyProtection="1">
      <alignment horizontal="center" vertical="center"/>
      <protection locked="0"/>
    </xf>
    <xf numFmtId="0" fontId="46" fillId="0" borderId="3" xfId="0" applyFont="1" applyFill="1" applyBorder="1" applyAlignment="1" applyProtection="1">
      <alignment horizontal="center" vertical="center"/>
      <protection locked="0"/>
    </xf>
    <xf numFmtId="0" fontId="46" fillId="0" borderId="5" xfId="0" applyFont="1" applyFill="1" applyBorder="1" applyAlignment="1" applyProtection="1">
      <alignment horizontal="center" vertical="center"/>
      <protection locked="0"/>
    </xf>
    <xf numFmtId="0" fontId="46" fillId="0" borderId="6" xfId="0" applyFont="1" applyFill="1" applyBorder="1" applyAlignment="1" applyProtection="1">
      <alignment horizontal="center" vertical="center"/>
      <protection locked="0"/>
    </xf>
    <xf numFmtId="0" fontId="45" fillId="0" borderId="5"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1" xfId="0" applyFont="1" applyFill="1" applyBorder="1" applyAlignment="1" applyProtection="1">
      <alignment horizontal="center" vertical="center"/>
      <protection locked="0"/>
    </xf>
    <xf numFmtId="0" fontId="24" fillId="4" borderId="18"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164" fontId="24" fillId="3" borderId="0" xfId="0" applyNumberFormat="1" applyFont="1" applyFill="1" applyAlignment="1" applyProtection="1">
      <alignment horizontal="center" vertical="center"/>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8" xfId="0" applyFont="1" applyBorder="1" applyAlignment="1" applyProtection="1">
      <alignment horizontal="left" vertical="center"/>
      <protection locked="0"/>
    </xf>
    <xf numFmtId="0" fontId="24" fillId="0" borderId="9" xfId="0" applyFont="1" applyBorder="1" applyAlignment="1" applyProtection="1">
      <alignment horizontal="left" vertical="center"/>
      <protection locked="0"/>
    </xf>
    <xf numFmtId="0" fontId="24" fillId="4" borderId="44" xfId="0" quotePrefix="1" applyFont="1" applyFill="1" applyBorder="1" applyAlignment="1" applyProtection="1">
      <alignment horizontal="left"/>
      <protection locked="0"/>
    </xf>
    <xf numFmtId="0" fontId="24" fillId="4" borderId="45" xfId="0" applyFont="1" applyFill="1" applyBorder="1" applyAlignment="1" applyProtection="1">
      <alignment horizontal="left"/>
      <protection locked="0"/>
    </xf>
    <xf numFmtId="0" fontId="24" fillId="4" borderId="34" xfId="0" applyFont="1" applyFill="1" applyBorder="1" applyAlignment="1" applyProtection="1">
      <alignment horizontal="left"/>
      <protection locked="0"/>
    </xf>
    <xf numFmtId="0" fontId="24" fillId="0" borderId="44" xfId="0" applyFont="1" applyBorder="1" applyAlignment="1" applyProtection="1">
      <alignment horizontal="left" vertical="center"/>
      <protection locked="0"/>
    </xf>
    <xf numFmtId="0" fontId="24" fillId="0" borderId="45" xfId="0" applyFont="1" applyBorder="1" applyAlignment="1" applyProtection="1">
      <alignment horizontal="left" vertical="center"/>
      <protection locked="0"/>
    </xf>
    <xf numFmtId="0" fontId="24" fillId="0" borderId="34" xfId="0" applyFont="1" applyBorder="1" applyAlignment="1" applyProtection="1">
      <alignment horizontal="left" vertical="center"/>
      <protection locked="0"/>
    </xf>
    <xf numFmtId="0" fontId="27" fillId="0" borderId="0" xfId="0" applyFont="1" applyAlignment="1" applyProtection="1">
      <alignment horizontal="center"/>
      <protection locked="0"/>
    </xf>
    <xf numFmtId="0" fontId="30" fillId="0" borderId="9" xfId="0" applyFont="1" applyFill="1" applyBorder="1" applyAlignment="1">
      <alignment horizontal="center" vertical="top" wrapText="1"/>
    </xf>
    <xf numFmtId="0" fontId="30" fillId="0" borderId="11" xfId="0" applyFont="1" applyFill="1" applyBorder="1" applyAlignment="1">
      <alignment horizontal="center" vertical="top" wrapText="1"/>
    </xf>
    <xf numFmtId="0" fontId="30" fillId="0" borderId="13" xfId="0" applyFont="1" applyFill="1" applyBorder="1" applyAlignment="1">
      <alignment horizontal="center" vertical="top" wrapText="1"/>
    </xf>
    <xf numFmtId="0" fontId="30" fillId="0" borderId="9" xfId="0" applyFont="1" applyFill="1" applyBorder="1" applyAlignment="1">
      <alignment vertical="top" wrapText="1"/>
    </xf>
    <xf numFmtId="0" fontId="39" fillId="0" borderId="9" xfId="0" applyFont="1" applyBorder="1" applyAlignment="1">
      <alignment horizontal="center" vertical="center" wrapText="1"/>
    </xf>
    <xf numFmtId="0" fontId="39" fillId="0" borderId="9" xfId="0" applyFont="1" applyBorder="1" applyAlignment="1">
      <alignment horizontal="left" vertical="top" wrapText="1"/>
    </xf>
    <xf numFmtId="0" fontId="6" fillId="0" borderId="27" xfId="0" applyFont="1" applyBorder="1" applyAlignment="1" applyProtection="1">
      <alignment horizontal="left" vertical="center" wrapText="1"/>
      <protection locked="0"/>
    </xf>
  </cellXfs>
  <cellStyles count="2">
    <cellStyle name="Link" xfId="1" builtinId="8"/>
    <cellStyle name="Standard" xfId="0" builtinId="0"/>
  </cellStyles>
  <dxfs count="75">
    <dxf>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dxf>
    <dxf>
      <alignment horizontal="general" vertical="bottom" textRotation="0" wrapText="0" indent="0" justifyLastLine="0" shrinkToFit="0" readingOrder="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rgb="FF000000"/>
        <name val="Verdana"/>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5"/>
        <color rgb="FF000000"/>
        <name val="Arial"/>
        <scheme val="none"/>
      </font>
      <numFmt numFmtId="0" formatCode="General"/>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5"/>
        <color rgb="FF00000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rgb="FF00000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rgb="FF00000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rgb="FF000000"/>
        <name val="Arial"/>
        <scheme val="none"/>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rgb="FF000000"/>
        <name val="Arial"/>
        <scheme val="none"/>
      </font>
      <alignment horizontal="center"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5"/>
        <color rgb="FF000000"/>
        <name val="Arial"/>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4</xdr:col>
      <xdr:colOff>21167</xdr:colOff>
      <xdr:row>2</xdr:row>
      <xdr:rowOff>232833</xdr:rowOff>
    </xdr:from>
    <xdr:ext cx="2381249" cy="317500"/>
    <mc:AlternateContent xmlns:mc="http://schemas.openxmlformats.org/markup-compatibility/2006" xmlns:a14="http://schemas.microsoft.com/office/drawing/2010/main">
      <mc:Choice Requires="a14">
        <xdr:sp macro="" textlink="">
          <xdr:nvSpPr>
            <xdr:cNvPr id="3" name="Textfeld 2"/>
            <xdr:cNvSpPr txBox="1"/>
          </xdr:nvSpPr>
          <xdr:spPr>
            <a:xfrm>
              <a:off x="3069167" y="775758"/>
              <a:ext cx="2381249" cy="317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𝑡𝑜𝑡</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𝑊𝑊</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i="1">
                            <a:latin typeface="Cambria Math" panose="02040503050406030204" pitchFamily="18" charset="0"/>
                          </a:rPr>
                          <m:t>𝑐</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i="1">
                            <a:latin typeface="Cambria Math" panose="02040503050406030204" pitchFamily="18" charset="0"/>
                          </a:rPr>
                          <m:t>𝑃</m:t>
                        </m:r>
                      </m:sub>
                    </m:sSub>
                  </m:oMath>
                </m:oMathPara>
              </a14:m>
              <a:endParaRPr lang="de-DE" sz="3200"/>
            </a:p>
          </xdr:txBody>
        </xdr:sp>
      </mc:Choice>
      <mc:Fallback xmlns="">
        <xdr:sp macro="" textlink="">
          <xdr:nvSpPr>
            <xdr:cNvPr id="3" name="Textfeld 2"/>
            <xdr:cNvSpPr txBox="1"/>
          </xdr:nvSpPr>
          <xdr:spPr>
            <a:xfrm>
              <a:off x="3069167" y="775758"/>
              <a:ext cx="2381249" cy="317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800" i="0">
                  <a:latin typeface="Cambria Math" panose="02040503050406030204" pitchFamily="18" charset="0"/>
                </a:rPr>
                <a:t>𝑄_</a:t>
              </a:r>
              <a:r>
                <a:rPr lang="de-DE" sz="1800" b="0" i="0">
                  <a:latin typeface="Cambria Math" panose="02040503050406030204" pitchFamily="18" charset="0"/>
                </a:rPr>
                <a:t>𝑡𝑜𝑡</a:t>
              </a:r>
              <a:r>
                <a:rPr lang="de-DE" sz="1800" i="0">
                  <a:latin typeface="Cambria Math" panose="02040503050406030204" pitchFamily="18" charset="0"/>
                </a:rPr>
                <a:t>=𝑄_</a:t>
              </a:r>
              <a:r>
                <a:rPr lang="de-DE" sz="1800" b="0" i="0">
                  <a:latin typeface="Cambria Math" panose="02040503050406030204" pitchFamily="18" charset="0"/>
                </a:rPr>
                <a:t>𝑊𝑊</a:t>
              </a:r>
              <a:r>
                <a:rPr lang="de-DE" sz="1800" i="0">
                  <a:latin typeface="Cambria Math" panose="02040503050406030204" pitchFamily="18" charset="0"/>
                </a:rPr>
                <a:t>+𝑄_𝑐+𝑄_𝑃</a:t>
              </a:r>
              <a:endParaRPr lang="de-DE" sz="3200"/>
            </a:p>
          </xdr:txBody>
        </xdr:sp>
      </mc:Fallback>
    </mc:AlternateContent>
    <xdr:clientData/>
  </xdr:oneCellAnchor>
  <xdr:oneCellAnchor>
    <xdr:from>
      <xdr:col>4</xdr:col>
      <xdr:colOff>19051</xdr:colOff>
      <xdr:row>7</xdr:row>
      <xdr:rowOff>214841</xdr:rowOff>
    </xdr:from>
    <xdr:ext cx="2235199" cy="318485"/>
    <mc:AlternateContent xmlns:mc="http://schemas.openxmlformats.org/markup-compatibility/2006" xmlns:a14="http://schemas.microsoft.com/office/drawing/2010/main">
      <mc:Choice Requires="a14">
        <xdr:sp macro="" textlink="">
          <xdr:nvSpPr>
            <xdr:cNvPr id="4" name="Textfeld 3"/>
            <xdr:cNvSpPr txBox="1"/>
          </xdr:nvSpPr>
          <xdr:spPr>
            <a:xfrm>
              <a:off x="3067051" y="2043641"/>
              <a:ext cx="2235199"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𝑊𝑊</m:t>
                        </m:r>
                      </m:sub>
                    </m:sSub>
                    <m:r>
                      <a:rPr lang="de-DE" sz="1800" i="1">
                        <a:latin typeface="Cambria Math" panose="02040503050406030204" pitchFamily="18" charset="0"/>
                      </a:rPr>
                      <m:t>=</m:t>
                    </m:r>
                    <m:r>
                      <a:rPr lang="de-DE" sz="1800" b="0" i="1">
                        <a:latin typeface="Cambria Math" panose="02040503050406030204" pitchFamily="18" charset="0"/>
                      </a:rPr>
                      <m:t>𝐾</m:t>
                    </m:r>
                    <m:r>
                      <a:rPr lang="de-DE" sz="1800" i="1">
                        <a:latin typeface="Cambria Math" panose="02040503050406030204" pitchFamily="18" charset="0"/>
                      </a:rPr>
                      <m:t>⋅</m:t>
                    </m:r>
                    <m:rad>
                      <m:radPr>
                        <m:degHide m:val="on"/>
                        <m:ctrlPr>
                          <a:rPr lang="de-DE" sz="1800" i="1">
                            <a:latin typeface="Cambria Math" panose="02040503050406030204" pitchFamily="18" charset="0"/>
                          </a:rPr>
                        </m:ctrlPr>
                      </m:radPr>
                      <m:deg/>
                      <m:e>
                        <m:r>
                          <a:rPr lang="de-DE" sz="1800" i="1">
                            <a:latin typeface="Cambria Math" panose="02040503050406030204" pitchFamily="18" charset="0"/>
                          </a:rPr>
                          <m:t>𝐷</m:t>
                        </m:r>
                        <m:r>
                          <a:rPr lang="de-DE" sz="1800" b="0" i="1">
                            <a:latin typeface="Cambria Math" panose="02040503050406030204" pitchFamily="18" charset="0"/>
                          </a:rPr>
                          <m:t>𝑈</m:t>
                        </m:r>
                      </m:e>
                    </m:rad>
                  </m:oMath>
                </m:oMathPara>
              </a14:m>
              <a:endParaRPr lang="de-DE" sz="4800"/>
            </a:p>
          </xdr:txBody>
        </xdr:sp>
      </mc:Choice>
      <mc:Fallback xmlns="">
        <xdr:sp macro="" textlink="">
          <xdr:nvSpPr>
            <xdr:cNvPr id="4" name="Textfeld 3"/>
            <xdr:cNvSpPr txBox="1"/>
          </xdr:nvSpPr>
          <xdr:spPr>
            <a:xfrm>
              <a:off x="3067051" y="2043641"/>
              <a:ext cx="2235199"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DE" sz="1800" i="0">
                  <a:latin typeface="Cambria Math" panose="02040503050406030204" pitchFamily="18" charset="0"/>
                </a:rPr>
                <a:t>𝑄_</a:t>
              </a:r>
              <a:r>
                <a:rPr lang="de-DE" sz="1800" b="0" i="0">
                  <a:latin typeface="Cambria Math" panose="02040503050406030204" pitchFamily="18" charset="0"/>
                </a:rPr>
                <a:t>𝑊𝑊</a:t>
              </a:r>
              <a:r>
                <a:rPr lang="de-DE" sz="1800" i="0">
                  <a:latin typeface="Cambria Math" panose="02040503050406030204" pitchFamily="18" charset="0"/>
                </a:rPr>
                <a:t>=</a:t>
              </a:r>
              <a:r>
                <a:rPr lang="de-DE" sz="1800" b="0" i="0">
                  <a:latin typeface="Cambria Math" panose="02040503050406030204" pitchFamily="18" charset="0"/>
                </a:rPr>
                <a:t>𝐾</a:t>
              </a:r>
              <a:r>
                <a:rPr lang="de-DE" sz="1800" i="0">
                  <a:latin typeface="Cambria Math" panose="02040503050406030204" pitchFamily="18" charset="0"/>
                </a:rPr>
                <a:t>⋅√𝐷</a:t>
              </a:r>
              <a:r>
                <a:rPr lang="de-DE" sz="1800" b="0" i="0">
                  <a:latin typeface="Cambria Math" panose="02040503050406030204" pitchFamily="18" charset="0"/>
                </a:rPr>
                <a:t>𝑈</a:t>
              </a:r>
              <a:endParaRPr lang="de-DE" sz="4800"/>
            </a:p>
          </xdr:txBody>
        </xdr:sp>
      </mc:Fallback>
    </mc:AlternateContent>
    <xdr:clientData/>
  </xdr:oneCellAnchor>
  <xdr:oneCellAnchor>
    <xdr:from>
      <xdr:col>4</xdr:col>
      <xdr:colOff>29633</xdr:colOff>
      <xdr:row>52</xdr:row>
      <xdr:rowOff>236009</xdr:rowOff>
    </xdr:from>
    <xdr:ext cx="334387" cy="313099"/>
    <mc:AlternateContent xmlns:mc="http://schemas.openxmlformats.org/markup-compatibility/2006" xmlns:a14="http://schemas.microsoft.com/office/drawing/2010/main">
      <mc:Choice Requires="a14">
        <xdr:sp macro="" textlink="">
          <xdr:nvSpPr>
            <xdr:cNvPr id="5" name="Textfeld 4"/>
            <xdr:cNvSpPr txBox="1"/>
          </xdr:nvSpPr>
          <xdr:spPr>
            <a:xfrm>
              <a:off x="3077633" y="12780434"/>
              <a:ext cx="334387"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2000" i="1">
                            <a:latin typeface="Cambria Math" panose="02040503050406030204" pitchFamily="18" charset="0"/>
                          </a:rPr>
                        </m:ctrlPr>
                      </m:sSubPr>
                      <m:e>
                        <m:r>
                          <a:rPr lang="de-DE" sz="2000" i="1">
                            <a:latin typeface="Cambria Math" panose="02040503050406030204" pitchFamily="18" charset="0"/>
                          </a:rPr>
                          <m:t>𝑄</m:t>
                        </m:r>
                      </m:e>
                      <m:sub>
                        <m:r>
                          <a:rPr lang="de-DE" sz="2000" i="1">
                            <a:latin typeface="Cambria Math" panose="02040503050406030204" pitchFamily="18" charset="0"/>
                          </a:rPr>
                          <m:t>𝑐</m:t>
                        </m:r>
                      </m:sub>
                    </m:sSub>
                  </m:oMath>
                </m:oMathPara>
              </a14:m>
              <a:endParaRPr lang="de-DE" sz="1100"/>
            </a:p>
          </xdr:txBody>
        </xdr:sp>
      </mc:Choice>
      <mc:Fallback xmlns="">
        <xdr:sp macro="" textlink="">
          <xdr:nvSpPr>
            <xdr:cNvPr id="5" name="Textfeld 4"/>
            <xdr:cNvSpPr txBox="1"/>
          </xdr:nvSpPr>
          <xdr:spPr>
            <a:xfrm>
              <a:off x="3077633" y="12780434"/>
              <a:ext cx="334387" cy="31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2000" i="0">
                  <a:latin typeface="Cambria Math" panose="02040503050406030204" pitchFamily="18" charset="0"/>
                </a:rPr>
                <a:t>𝑄_𝑐</a:t>
              </a:r>
              <a:endParaRPr lang="de-DE" sz="1100"/>
            </a:p>
          </xdr:txBody>
        </xdr:sp>
      </mc:Fallback>
    </mc:AlternateContent>
    <xdr:clientData/>
  </xdr:oneCellAnchor>
  <xdr:oneCellAnchor>
    <xdr:from>
      <xdr:col>4</xdr:col>
      <xdr:colOff>0</xdr:colOff>
      <xdr:row>70</xdr:row>
      <xdr:rowOff>0</xdr:rowOff>
    </xdr:from>
    <xdr:ext cx="323422" cy="281808"/>
    <mc:AlternateContent xmlns:mc="http://schemas.openxmlformats.org/markup-compatibility/2006" xmlns:a14="http://schemas.microsoft.com/office/drawing/2010/main">
      <mc:Choice Requires="a14">
        <xdr:sp macro="" textlink="">
          <xdr:nvSpPr>
            <xdr:cNvPr id="6" name="Textfeld 5"/>
            <xdr:cNvSpPr txBox="1"/>
          </xdr:nvSpPr>
          <xdr:spPr>
            <a:xfrm>
              <a:off x="3048000" y="15906750"/>
              <a:ext cx="323422"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𝑃</m:t>
                        </m:r>
                      </m:sub>
                    </m:sSub>
                  </m:oMath>
                </m:oMathPara>
              </a14:m>
              <a:endParaRPr lang="de-DE" sz="1100"/>
            </a:p>
          </xdr:txBody>
        </xdr:sp>
      </mc:Choice>
      <mc:Fallback xmlns="">
        <xdr:sp macro="" textlink="">
          <xdr:nvSpPr>
            <xdr:cNvPr id="6" name="Textfeld 5"/>
            <xdr:cNvSpPr txBox="1"/>
          </xdr:nvSpPr>
          <xdr:spPr>
            <a:xfrm>
              <a:off x="3048000" y="15906750"/>
              <a:ext cx="323422"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800" i="0">
                  <a:latin typeface="Cambria Math" panose="02040503050406030204" pitchFamily="18" charset="0"/>
                </a:rPr>
                <a:t>𝑄_</a:t>
              </a:r>
              <a:r>
                <a:rPr lang="de-DE" sz="1800" b="0" i="0">
                  <a:latin typeface="Cambria Math" panose="02040503050406030204" pitchFamily="18" charset="0"/>
                </a:rPr>
                <a:t>𝑃</a:t>
              </a:r>
              <a:endParaRPr lang="de-DE" sz="1100"/>
            </a:p>
          </xdr:txBody>
        </xdr:sp>
      </mc:Fallback>
    </mc:AlternateContent>
    <xdr:clientData/>
  </xdr:oneCellAnchor>
  <xdr:oneCellAnchor>
    <xdr:from>
      <xdr:col>9</xdr:col>
      <xdr:colOff>158750</xdr:colOff>
      <xdr:row>78</xdr:row>
      <xdr:rowOff>211667</xdr:rowOff>
    </xdr:from>
    <xdr:ext cx="462691" cy="281808"/>
    <mc:AlternateContent xmlns:mc="http://schemas.openxmlformats.org/markup-compatibility/2006" xmlns:a14="http://schemas.microsoft.com/office/drawing/2010/main">
      <mc:Choice Requires="a14">
        <xdr:sp macro="" textlink="">
          <xdr:nvSpPr>
            <xdr:cNvPr id="7" name="Textfeld 6"/>
            <xdr:cNvSpPr txBox="1"/>
          </xdr:nvSpPr>
          <xdr:spPr>
            <a:xfrm>
              <a:off x="7645400" y="18099617"/>
              <a:ext cx="462691"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𝑡𝑜𝑡</m:t>
                        </m:r>
                      </m:sub>
                    </m:sSub>
                  </m:oMath>
                </m:oMathPara>
              </a14:m>
              <a:endParaRPr lang="de-DE" sz="1100"/>
            </a:p>
          </xdr:txBody>
        </xdr:sp>
      </mc:Choice>
      <mc:Fallback xmlns="">
        <xdr:sp macro="" textlink="">
          <xdr:nvSpPr>
            <xdr:cNvPr id="7" name="Textfeld 6"/>
            <xdr:cNvSpPr txBox="1"/>
          </xdr:nvSpPr>
          <xdr:spPr>
            <a:xfrm>
              <a:off x="7645400" y="18099617"/>
              <a:ext cx="462691"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1800" i="0">
                  <a:latin typeface="Cambria Math" panose="02040503050406030204" pitchFamily="18" charset="0"/>
                </a:rPr>
                <a:t>𝑄_</a:t>
              </a:r>
              <a:r>
                <a:rPr lang="de-DE" sz="1800" b="0" i="0">
                  <a:latin typeface="Cambria Math" panose="02040503050406030204" pitchFamily="18" charset="0"/>
                </a:rPr>
                <a:t>𝑡𝑜𝑡</a:t>
              </a:r>
              <a:endParaRPr lang="de-DE" sz="1100"/>
            </a:p>
          </xdr:txBody>
        </xdr:sp>
      </mc:Fallback>
    </mc:AlternateContent>
    <xdr:clientData/>
  </xdr:oneCellAnchor>
  <xdr:twoCellAnchor editAs="oneCell">
    <xdr:from>
      <xdr:col>10</xdr:col>
      <xdr:colOff>305858</xdr:colOff>
      <xdr:row>0</xdr:row>
      <xdr:rowOff>81492</xdr:rowOff>
    </xdr:from>
    <xdr:to>
      <xdr:col>11</xdr:col>
      <xdr:colOff>471557</xdr:colOff>
      <xdr:row>1</xdr:row>
      <xdr:rowOff>152218</xdr:rowOff>
    </xdr:to>
    <xdr:pic>
      <xdr:nvPicPr>
        <xdr:cNvPr id="11" name="Grafik 10"/>
        <xdr:cNvPicPr>
          <a:picLocks noChangeAspect="1"/>
        </xdr:cNvPicPr>
      </xdr:nvPicPr>
      <xdr:blipFill>
        <a:blip xmlns:r="http://schemas.openxmlformats.org/officeDocument/2006/relationships" r:embed="rId1"/>
        <a:stretch>
          <a:fillRect/>
        </a:stretch>
      </xdr:blipFill>
      <xdr:spPr>
        <a:xfrm>
          <a:off x="8678333" y="81492"/>
          <a:ext cx="1051524" cy="337426"/>
        </a:xfrm>
        <a:prstGeom prst="rect">
          <a:avLst/>
        </a:prstGeom>
      </xdr:spPr>
    </xdr:pic>
    <xdr:clientData/>
  </xdr:twoCellAnchor>
  <xdr:oneCellAnchor>
    <xdr:from>
      <xdr:col>4</xdr:col>
      <xdr:colOff>21167</xdr:colOff>
      <xdr:row>2</xdr:row>
      <xdr:rowOff>232833</xdr:rowOff>
    </xdr:from>
    <xdr:ext cx="2381249" cy="317500"/>
    <mc:AlternateContent xmlns:mc="http://schemas.openxmlformats.org/markup-compatibility/2006" xmlns:a14="http://schemas.microsoft.com/office/drawing/2010/main">
      <mc:Choice Requires="a14">
        <xdr:sp macro="" textlink="">
          <xdr:nvSpPr>
            <xdr:cNvPr id="8" name="Textfeld 7"/>
            <xdr:cNvSpPr txBox="1"/>
          </xdr:nvSpPr>
          <xdr:spPr>
            <a:xfrm>
              <a:off x="3069167" y="775758"/>
              <a:ext cx="2381249" cy="317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𝑡𝑜𝑡</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𝑊𝑊</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i="1">
                            <a:latin typeface="Cambria Math" panose="02040503050406030204" pitchFamily="18" charset="0"/>
                          </a:rPr>
                          <m:t>𝑐</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i="1">
                            <a:latin typeface="Cambria Math" panose="02040503050406030204" pitchFamily="18" charset="0"/>
                          </a:rPr>
                          <m:t>𝑃</m:t>
                        </m:r>
                      </m:sub>
                    </m:sSub>
                  </m:oMath>
                </m:oMathPara>
              </a14:m>
              <a:endParaRPr lang="de-DE" sz="3200"/>
            </a:p>
          </xdr:txBody>
        </xdr:sp>
      </mc:Choice>
      <mc:Fallback xmlns="">
        <xdr:sp macro="" textlink="">
          <xdr:nvSpPr>
            <xdr:cNvPr id="8" name="Textfeld 7"/>
            <xdr:cNvSpPr txBox="1"/>
          </xdr:nvSpPr>
          <xdr:spPr>
            <a:xfrm>
              <a:off x="3069167" y="775758"/>
              <a:ext cx="2381249" cy="317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800" i="0">
                  <a:latin typeface="Cambria Math" panose="02040503050406030204" pitchFamily="18" charset="0"/>
                </a:rPr>
                <a:t>𝑄_</a:t>
              </a:r>
              <a:r>
                <a:rPr lang="de-DE" sz="1800" b="0" i="0">
                  <a:latin typeface="Cambria Math" panose="02040503050406030204" pitchFamily="18" charset="0"/>
                </a:rPr>
                <a:t>𝑡𝑜𝑡</a:t>
              </a:r>
              <a:r>
                <a:rPr lang="de-DE" sz="1800" i="0">
                  <a:latin typeface="Cambria Math" panose="02040503050406030204" pitchFamily="18" charset="0"/>
                </a:rPr>
                <a:t>=𝑄_</a:t>
              </a:r>
              <a:r>
                <a:rPr lang="de-DE" sz="1800" b="0" i="0">
                  <a:latin typeface="Cambria Math" panose="02040503050406030204" pitchFamily="18" charset="0"/>
                </a:rPr>
                <a:t>𝑊𝑊</a:t>
              </a:r>
              <a:r>
                <a:rPr lang="de-DE" sz="1800" i="0">
                  <a:latin typeface="Cambria Math" panose="02040503050406030204" pitchFamily="18" charset="0"/>
                </a:rPr>
                <a:t>+𝑄_𝑐+𝑄_𝑃</a:t>
              </a:r>
              <a:endParaRPr lang="de-DE" sz="3200"/>
            </a:p>
          </xdr:txBody>
        </xdr:sp>
      </mc:Fallback>
    </mc:AlternateContent>
    <xdr:clientData/>
  </xdr:oneCellAnchor>
  <xdr:oneCellAnchor>
    <xdr:from>
      <xdr:col>4</xdr:col>
      <xdr:colOff>19051</xdr:colOff>
      <xdr:row>7</xdr:row>
      <xdr:rowOff>214841</xdr:rowOff>
    </xdr:from>
    <xdr:ext cx="2235199" cy="318485"/>
    <mc:AlternateContent xmlns:mc="http://schemas.openxmlformats.org/markup-compatibility/2006" xmlns:a14="http://schemas.microsoft.com/office/drawing/2010/main">
      <mc:Choice Requires="a14">
        <xdr:sp macro="" textlink="">
          <xdr:nvSpPr>
            <xdr:cNvPr id="9" name="Textfeld 8"/>
            <xdr:cNvSpPr txBox="1"/>
          </xdr:nvSpPr>
          <xdr:spPr>
            <a:xfrm>
              <a:off x="3067051" y="2043641"/>
              <a:ext cx="2235199"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sSub>
                      <m:sSubPr>
                        <m:ctrlPr>
                          <a:rPr lang="de-DE" sz="1800" i="1">
                            <a:latin typeface="Cambria Math" panose="02040503050406030204" pitchFamily="18" charset="0"/>
                          </a:rPr>
                        </m:ctrlPr>
                      </m:sSubPr>
                      <m:e>
                        <m:r>
                          <a:rPr lang="de-DE" sz="1800" i="1">
                            <a:latin typeface="Cambria Math" panose="02040503050406030204" pitchFamily="18" charset="0"/>
                          </a:rPr>
                          <m:t>𝑄</m:t>
                        </m:r>
                      </m:e>
                      <m:sub>
                        <m:r>
                          <a:rPr lang="de-DE" sz="1800" b="0" i="1">
                            <a:latin typeface="Cambria Math" panose="02040503050406030204" pitchFamily="18" charset="0"/>
                          </a:rPr>
                          <m:t>𝑊𝑊</m:t>
                        </m:r>
                      </m:sub>
                    </m:sSub>
                    <m:r>
                      <a:rPr lang="de-DE" sz="1800" i="1">
                        <a:latin typeface="Cambria Math" panose="02040503050406030204" pitchFamily="18" charset="0"/>
                      </a:rPr>
                      <m:t>=</m:t>
                    </m:r>
                    <m:r>
                      <a:rPr lang="de-DE" sz="1800" b="0" i="1">
                        <a:latin typeface="Cambria Math" panose="02040503050406030204" pitchFamily="18" charset="0"/>
                      </a:rPr>
                      <m:t>𝐾</m:t>
                    </m:r>
                    <m:r>
                      <a:rPr lang="de-DE" sz="1800" i="1">
                        <a:latin typeface="Cambria Math" panose="02040503050406030204" pitchFamily="18" charset="0"/>
                      </a:rPr>
                      <m:t>⋅</m:t>
                    </m:r>
                    <m:rad>
                      <m:radPr>
                        <m:degHide m:val="on"/>
                        <m:ctrlPr>
                          <a:rPr lang="de-DE" sz="1800" i="1">
                            <a:latin typeface="Cambria Math" panose="02040503050406030204" pitchFamily="18" charset="0"/>
                          </a:rPr>
                        </m:ctrlPr>
                      </m:radPr>
                      <m:deg/>
                      <m:e>
                        <m:r>
                          <a:rPr lang="de-DE" sz="1800" i="1">
                            <a:latin typeface="Cambria Math" panose="02040503050406030204" pitchFamily="18" charset="0"/>
                          </a:rPr>
                          <m:t>𝐷</m:t>
                        </m:r>
                        <m:r>
                          <a:rPr lang="de-DE" sz="1800" b="0" i="1">
                            <a:latin typeface="Cambria Math" panose="02040503050406030204" pitchFamily="18" charset="0"/>
                          </a:rPr>
                          <m:t>𝑈</m:t>
                        </m:r>
                      </m:e>
                    </m:rad>
                  </m:oMath>
                </m:oMathPara>
              </a14:m>
              <a:endParaRPr lang="de-DE" sz="4800"/>
            </a:p>
          </xdr:txBody>
        </xdr:sp>
      </mc:Choice>
      <mc:Fallback xmlns="">
        <xdr:sp macro="" textlink="">
          <xdr:nvSpPr>
            <xdr:cNvPr id="9" name="Textfeld 8"/>
            <xdr:cNvSpPr txBox="1"/>
          </xdr:nvSpPr>
          <xdr:spPr>
            <a:xfrm>
              <a:off x="3067051" y="2043641"/>
              <a:ext cx="2235199"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DE" sz="1800" i="0">
                  <a:latin typeface="Cambria Math" panose="02040503050406030204" pitchFamily="18" charset="0"/>
                </a:rPr>
                <a:t>𝑄_</a:t>
              </a:r>
              <a:r>
                <a:rPr lang="de-DE" sz="1800" b="0" i="0">
                  <a:latin typeface="Cambria Math" panose="02040503050406030204" pitchFamily="18" charset="0"/>
                </a:rPr>
                <a:t>𝑊𝑊</a:t>
              </a:r>
              <a:r>
                <a:rPr lang="de-DE" sz="1800" i="0">
                  <a:latin typeface="Cambria Math" panose="02040503050406030204" pitchFamily="18" charset="0"/>
                </a:rPr>
                <a:t>=</a:t>
              </a:r>
              <a:r>
                <a:rPr lang="de-DE" sz="1800" b="0" i="0">
                  <a:latin typeface="Cambria Math" panose="02040503050406030204" pitchFamily="18" charset="0"/>
                </a:rPr>
                <a:t>𝐾</a:t>
              </a:r>
              <a:r>
                <a:rPr lang="de-DE" sz="1800" i="0">
                  <a:latin typeface="Cambria Math" panose="02040503050406030204" pitchFamily="18" charset="0"/>
                </a:rPr>
                <a:t>⋅√𝐷</a:t>
              </a:r>
              <a:r>
                <a:rPr lang="de-DE" sz="1800" b="0" i="0">
                  <a:latin typeface="Cambria Math" panose="02040503050406030204" pitchFamily="18" charset="0"/>
                </a:rPr>
                <a:t>𝑈</a:t>
              </a:r>
              <a:endParaRPr lang="de-DE" sz="48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7</xdr:col>
      <xdr:colOff>29766</xdr:colOff>
      <xdr:row>47</xdr:row>
      <xdr:rowOff>74415</xdr:rowOff>
    </xdr:from>
    <xdr:to>
      <xdr:col>10</xdr:col>
      <xdr:colOff>112070</xdr:colOff>
      <xdr:row>49</xdr:row>
      <xdr:rowOff>135583</xdr:rowOff>
    </xdr:to>
    <mc:AlternateContent xmlns:mc="http://schemas.openxmlformats.org/markup-compatibility/2006" xmlns:a14="http://schemas.microsoft.com/office/drawing/2010/main">
      <mc:Choice Requires="a14">
        <xdr:sp macro="" textlink="">
          <xdr:nvSpPr>
            <xdr:cNvPr id="5" name="Textfeld 4"/>
            <xdr:cNvSpPr txBox="1"/>
          </xdr:nvSpPr>
          <xdr:spPr>
            <a:xfrm>
              <a:off x="5363766" y="9027915"/>
              <a:ext cx="2368304" cy="442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de-DE" sz="2000" b="0" i="1">
                        <a:latin typeface="Cambria Math" panose="02040503050406030204" pitchFamily="18" charset="0"/>
                      </a:rPr>
                      <m:t>𝑉</m:t>
                    </m:r>
                    <m:r>
                      <a:rPr lang="de-DE" sz="2000" i="1">
                        <a:latin typeface="Cambria Math" panose="02040503050406030204" pitchFamily="18" charset="0"/>
                      </a:rPr>
                      <m:t>=</m:t>
                    </m:r>
                    <m:sSub>
                      <m:sSubPr>
                        <m:ctrlPr>
                          <a:rPr lang="de-DE" sz="2000" i="1">
                            <a:latin typeface="Cambria Math" panose="02040503050406030204" pitchFamily="18" charset="0"/>
                          </a:rPr>
                        </m:ctrlPr>
                      </m:sSubPr>
                      <m:e>
                        <m:r>
                          <a:rPr lang="de-DE" sz="2000" b="0" i="1">
                            <a:latin typeface="Cambria Math" panose="02040503050406030204" pitchFamily="18" charset="0"/>
                          </a:rPr>
                          <m:t>𝑟</m:t>
                        </m:r>
                      </m:e>
                      <m:sub>
                        <m:r>
                          <a:rPr lang="de-DE" sz="2000" b="0" i="1">
                            <a:latin typeface="Cambria Math" panose="02040503050406030204" pitchFamily="18" charset="0"/>
                          </a:rPr>
                          <m:t>(5,100)</m:t>
                        </m:r>
                      </m:sub>
                    </m:sSub>
                    <m:r>
                      <a:rPr lang="de-DE" sz="2000" i="1">
                        <a:latin typeface="Cambria Math" panose="02040503050406030204" pitchFamily="18" charset="0"/>
                      </a:rPr>
                      <m:t>⋅</m:t>
                    </m:r>
                    <m:r>
                      <a:rPr lang="de-DE" sz="2000" i="1">
                        <a:latin typeface="Cambria Math" panose="02040503050406030204" pitchFamily="18" charset="0"/>
                      </a:rPr>
                      <m:t>𝐶</m:t>
                    </m:r>
                    <m:r>
                      <a:rPr lang="de-DE" sz="2000" i="1">
                        <a:latin typeface="Cambria Math" panose="02040503050406030204" pitchFamily="18" charset="0"/>
                      </a:rPr>
                      <m:t>⋅</m:t>
                    </m:r>
                    <m:r>
                      <a:rPr lang="de-DE" sz="2000" i="1">
                        <a:latin typeface="Cambria Math" panose="02040503050406030204" pitchFamily="18" charset="0"/>
                      </a:rPr>
                      <m:t>𝐴</m:t>
                    </m:r>
                    <m:r>
                      <a:rPr lang="de-DE" sz="2000" i="1">
                        <a:latin typeface="Cambria Math" panose="02040503050406030204" pitchFamily="18" charset="0"/>
                      </a:rPr>
                      <m:t>⋅</m:t>
                    </m:r>
                    <m:f>
                      <m:fPr>
                        <m:ctrlPr>
                          <a:rPr lang="de-DE" sz="2000" i="1">
                            <a:latin typeface="Cambria Math" panose="02040503050406030204" pitchFamily="18" charset="0"/>
                          </a:rPr>
                        </m:ctrlPr>
                      </m:fPr>
                      <m:num>
                        <m:r>
                          <a:rPr lang="de-DE" sz="2000" b="0" i="1">
                            <a:latin typeface="Cambria Math" panose="02040503050406030204" pitchFamily="18" charset="0"/>
                          </a:rPr>
                          <m:t>5</m:t>
                        </m:r>
                        <m:r>
                          <a:rPr lang="de-DE" sz="1100" i="1">
                            <a:solidFill>
                              <a:schemeClr val="tx1"/>
                            </a:solidFill>
                            <a:effectLst/>
                            <a:latin typeface="Cambria Math" panose="02040503050406030204" pitchFamily="18" charset="0"/>
                            <a:ea typeface="+mn-ea"/>
                            <a:cs typeface="+mn-cs"/>
                          </a:rPr>
                          <m:t>⋅</m:t>
                        </m:r>
                        <m:r>
                          <a:rPr lang="de-DE" sz="2000" b="0" i="1">
                            <a:latin typeface="Cambria Math" panose="02040503050406030204" pitchFamily="18" charset="0"/>
                          </a:rPr>
                          <m:t>60</m:t>
                        </m:r>
                      </m:num>
                      <m:den>
                        <m:sSup>
                          <m:sSupPr>
                            <m:ctrlPr>
                              <a:rPr lang="de-DE" sz="2000" i="1">
                                <a:latin typeface="Cambria Math" panose="02040503050406030204" pitchFamily="18" charset="0"/>
                              </a:rPr>
                            </m:ctrlPr>
                          </m:sSupPr>
                          <m:e>
                            <m:r>
                              <a:rPr lang="de-DE" sz="2000" i="1">
                                <a:latin typeface="Cambria Math" panose="02040503050406030204" pitchFamily="18" charset="0"/>
                              </a:rPr>
                              <m:t>10</m:t>
                            </m:r>
                          </m:e>
                          <m:sup>
                            <m:r>
                              <a:rPr lang="de-DE" sz="2000" b="0" i="1">
                                <a:latin typeface="Cambria Math" panose="02040503050406030204" pitchFamily="18" charset="0"/>
                              </a:rPr>
                              <m:t>7</m:t>
                            </m:r>
                          </m:sup>
                        </m:sSup>
                      </m:den>
                    </m:f>
                  </m:oMath>
                </m:oMathPara>
              </a14:m>
              <a:endParaRPr lang="de-DE" sz="800"/>
            </a:p>
          </xdr:txBody>
        </xdr:sp>
      </mc:Choice>
      <mc:Fallback xmlns="">
        <xdr:sp macro="" textlink="">
          <xdr:nvSpPr>
            <xdr:cNvPr id="5" name="Textfeld 4"/>
            <xdr:cNvSpPr txBox="1"/>
          </xdr:nvSpPr>
          <xdr:spPr>
            <a:xfrm>
              <a:off x="5363766" y="9027915"/>
              <a:ext cx="2368304" cy="4421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DE" sz="2000" b="0" i="0">
                  <a:latin typeface="Cambria Math" panose="02040503050406030204" pitchFamily="18" charset="0"/>
                </a:rPr>
                <a:t>𝑉</a:t>
              </a:r>
              <a:r>
                <a:rPr lang="de-DE" sz="2000" i="0">
                  <a:latin typeface="Cambria Math" panose="02040503050406030204" pitchFamily="18" charset="0"/>
                </a:rPr>
                <a:t>=</a:t>
              </a:r>
              <a:r>
                <a:rPr lang="de-DE" sz="2000" b="0" i="0">
                  <a:latin typeface="Cambria Math" panose="02040503050406030204" pitchFamily="18" charset="0"/>
                </a:rPr>
                <a:t>𝑟_((5,100))</a:t>
              </a:r>
              <a:r>
                <a:rPr lang="de-DE" sz="2000" i="0">
                  <a:latin typeface="Cambria Math" panose="02040503050406030204" pitchFamily="18" charset="0"/>
                </a:rPr>
                <a:t>⋅𝐶⋅𝐴⋅(</a:t>
              </a:r>
              <a:r>
                <a:rPr lang="de-DE" sz="2000" b="0" i="0">
                  <a:latin typeface="Cambria Math" panose="02040503050406030204" pitchFamily="18" charset="0"/>
                </a:rPr>
                <a:t>5</a:t>
              </a:r>
              <a:r>
                <a:rPr lang="de-DE" sz="1100" i="0">
                  <a:solidFill>
                    <a:schemeClr val="tx1"/>
                  </a:solidFill>
                  <a:effectLst/>
                  <a:latin typeface="Cambria Math" panose="02040503050406030204" pitchFamily="18" charset="0"/>
                  <a:ea typeface="+mn-ea"/>
                  <a:cs typeface="+mn-cs"/>
                </a:rPr>
                <a:t>⋅</a:t>
              </a:r>
              <a:r>
                <a:rPr lang="de-DE" sz="2000" b="0" i="0">
                  <a:latin typeface="Cambria Math" panose="02040503050406030204" pitchFamily="18" charset="0"/>
                </a:rPr>
                <a:t>60)/〖</a:t>
              </a:r>
              <a:r>
                <a:rPr lang="de-DE" sz="2000" i="0">
                  <a:latin typeface="Cambria Math" panose="02040503050406030204" pitchFamily="18" charset="0"/>
                </a:rPr>
                <a:t>10〗^</a:t>
              </a:r>
              <a:r>
                <a:rPr lang="de-DE" sz="2000" b="0" i="0">
                  <a:latin typeface="Cambria Math" panose="02040503050406030204" pitchFamily="18" charset="0"/>
                </a:rPr>
                <a:t>7 </a:t>
              </a:r>
              <a:endParaRPr lang="de-DE" sz="800"/>
            </a:p>
          </xdr:txBody>
        </xdr:sp>
      </mc:Fallback>
    </mc:AlternateContent>
    <xdr:clientData/>
  </xdr:twoCellAnchor>
  <xdr:twoCellAnchor>
    <xdr:from>
      <xdr:col>4</xdr:col>
      <xdr:colOff>33735</xdr:colOff>
      <xdr:row>82</xdr:row>
      <xdr:rowOff>35421</xdr:rowOff>
    </xdr:from>
    <xdr:to>
      <xdr:col>11</xdr:col>
      <xdr:colOff>567322</xdr:colOff>
      <xdr:row>84</xdr:row>
      <xdr:rowOff>34452</xdr:rowOff>
    </xdr:to>
    <mc:AlternateContent xmlns:mc="http://schemas.openxmlformats.org/markup-compatibility/2006" xmlns:a14="http://schemas.microsoft.com/office/drawing/2010/main">
      <mc:Choice Requires="a14">
        <xdr:sp macro="" textlink="">
          <xdr:nvSpPr>
            <xdr:cNvPr id="6" name="Textfeld 5"/>
            <xdr:cNvSpPr txBox="1"/>
          </xdr:nvSpPr>
          <xdr:spPr>
            <a:xfrm>
              <a:off x="3081735" y="15656421"/>
              <a:ext cx="5867587" cy="380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left"/>
                  </m:oMathParaPr>
                  <m:oMath xmlns:m="http://schemas.openxmlformats.org/officeDocument/2006/math">
                    <m:sSub>
                      <m:sSubPr>
                        <m:ctrlPr>
                          <a:rPr lang="de-DE" sz="1800" i="1">
                            <a:latin typeface="Cambria Math" panose="02040503050406030204" pitchFamily="18" charset="0"/>
                          </a:rPr>
                        </m:ctrlPr>
                      </m:sSubPr>
                      <m:e>
                        <m:r>
                          <a:rPr lang="de-DE" sz="1800" b="0" i="1">
                            <a:latin typeface="Cambria Math" panose="02040503050406030204" pitchFamily="18" charset="0"/>
                          </a:rPr>
                          <m:t>𝑉</m:t>
                        </m:r>
                      </m:e>
                      <m:sub>
                        <m:r>
                          <a:rPr lang="de-DE" sz="1800" b="0" i="1">
                            <a:latin typeface="Cambria Math" panose="02040503050406030204" pitchFamily="18" charset="0"/>
                          </a:rPr>
                          <m:t>𝑅</m:t>
                        </m:r>
                        <m:r>
                          <a:rPr lang="de-DE" sz="1800" b="0" i="1">
                            <a:latin typeface="Cambria Math" panose="02040503050406030204" pitchFamily="18" charset="0"/>
                          </a:rPr>
                          <m:t>ü</m:t>
                        </m:r>
                        <m:r>
                          <a:rPr lang="de-DE" sz="1800" b="0" i="1">
                            <a:latin typeface="Cambria Math" panose="02040503050406030204" pitchFamily="18" charset="0"/>
                          </a:rPr>
                          <m:t>𝑐𝑘</m:t>
                        </m:r>
                      </m:sub>
                    </m:sSub>
                    <m:r>
                      <a:rPr lang="de-DE" sz="1800" i="1">
                        <a:latin typeface="Cambria Math" panose="02040503050406030204" pitchFamily="18" charset="0"/>
                      </a:rPr>
                      <m:t>=</m:t>
                    </m:r>
                    <m:d>
                      <m:dPr>
                        <m:ctrlPr>
                          <a:rPr lang="de-DE" sz="1800" i="1">
                            <a:latin typeface="Cambria Math" panose="02040503050406030204" pitchFamily="18" charset="0"/>
                          </a:rPr>
                        </m:ctrlPr>
                      </m:dPr>
                      <m:e>
                        <m:sSub>
                          <m:sSubPr>
                            <m:ctrlPr>
                              <a:rPr lang="de-DE" sz="1800" i="1">
                                <a:latin typeface="Cambria Math" panose="02040503050406030204" pitchFamily="18" charset="0"/>
                              </a:rPr>
                            </m:ctrlPr>
                          </m:sSubPr>
                          <m:e>
                            <m:r>
                              <a:rPr lang="de-DE" sz="1800" i="1">
                                <a:latin typeface="Cambria Math" panose="02040503050406030204" pitchFamily="18" charset="0"/>
                              </a:rPr>
                              <m:t>𝑟</m:t>
                            </m:r>
                          </m:e>
                          <m:sub>
                            <m:r>
                              <a:rPr lang="de-DE" sz="1800" b="0" i="1">
                                <a:latin typeface="Cambria Math" panose="02040503050406030204" pitchFamily="18" charset="0"/>
                              </a:rPr>
                              <m:t>𝐷</m:t>
                            </m:r>
                            <m:r>
                              <a:rPr lang="de-DE" sz="1800" b="0" i="1">
                                <a:latin typeface="Cambria Math" panose="02040503050406030204" pitchFamily="18" charset="0"/>
                              </a:rPr>
                              <m:t>,30</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𝐴</m:t>
                            </m:r>
                          </m:e>
                          <m:sub>
                            <m:r>
                              <a:rPr lang="de-DE" sz="1800" b="0" i="1">
                                <a:latin typeface="Cambria Math" panose="02040503050406030204" pitchFamily="18" charset="0"/>
                              </a:rPr>
                              <m:t>𝑔𝑒𝑠</m:t>
                            </m:r>
                          </m:sub>
                        </m:sSub>
                        <m:r>
                          <a:rPr lang="de-DE" sz="1800" i="1">
                            <a:latin typeface="Cambria Math" panose="02040503050406030204" pitchFamily="18" charset="0"/>
                          </a:rPr>
                          <m:t>−</m:t>
                        </m:r>
                        <m:d>
                          <m:dPr>
                            <m:ctrlPr>
                              <a:rPr lang="de-DE" sz="1800" i="1">
                                <a:latin typeface="Cambria Math" panose="02040503050406030204" pitchFamily="18" charset="0"/>
                              </a:rPr>
                            </m:ctrlPr>
                          </m:dPr>
                          <m:e>
                            <m:sSub>
                              <m:sSubPr>
                                <m:ctrlPr>
                                  <a:rPr lang="de-DE" sz="1800" i="1">
                                    <a:latin typeface="Cambria Math" panose="02040503050406030204" pitchFamily="18" charset="0"/>
                                  </a:rPr>
                                </m:ctrlPr>
                              </m:sSubPr>
                              <m:e>
                                <m:r>
                                  <a:rPr lang="de-DE" sz="1800" i="1">
                                    <a:latin typeface="Cambria Math" panose="02040503050406030204" pitchFamily="18" charset="0"/>
                                  </a:rPr>
                                  <m:t>𝑟</m:t>
                                </m:r>
                              </m:e>
                              <m:sub>
                                <m:r>
                                  <a:rPr lang="de-DE" sz="1800" b="0" i="1">
                                    <a:latin typeface="Cambria Math" panose="02040503050406030204" pitchFamily="18" charset="0"/>
                                  </a:rPr>
                                  <m:t>5,2</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𝐴</m:t>
                                </m:r>
                              </m:e>
                              <m:sub>
                                <m:r>
                                  <a:rPr lang="de-DE" sz="1800" b="0" i="1">
                                    <a:latin typeface="Cambria Math" panose="02040503050406030204" pitchFamily="18" charset="0"/>
                                  </a:rPr>
                                  <m:t>𝐹𝑙</m:t>
                                </m:r>
                                <m:r>
                                  <a:rPr lang="de-DE" sz="1800" b="0" i="1">
                                    <a:latin typeface="Cambria Math" panose="02040503050406030204" pitchFamily="18" charset="0"/>
                                  </a:rPr>
                                  <m:t>ä</m:t>
                                </m:r>
                                <m:r>
                                  <a:rPr lang="de-DE" sz="1800" b="0" i="1">
                                    <a:latin typeface="Cambria Math" panose="02040503050406030204" pitchFamily="18" charset="0"/>
                                  </a:rPr>
                                  <m:t>𝑐h𝑒</m:t>
                                </m:r>
                              </m:sub>
                            </m:sSub>
                            <m:r>
                              <a:rPr lang="de-DE" sz="1800" i="1">
                                <a:latin typeface="Cambria Math" panose="02040503050406030204" pitchFamily="18" charset="0"/>
                              </a:rPr>
                              <m:t>⋅</m:t>
                            </m:r>
                            <m:r>
                              <a:rPr lang="de-DE" sz="1800" i="1">
                                <a:latin typeface="Cambria Math" panose="02040503050406030204" pitchFamily="18" charset="0"/>
                              </a:rPr>
                              <m:t>𝐶</m:t>
                            </m:r>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𝑟</m:t>
                                </m:r>
                              </m:e>
                              <m:sub>
                                <m:r>
                                  <a:rPr lang="de-DE" sz="1800" b="0" i="1">
                                    <a:latin typeface="Cambria Math" panose="02040503050406030204" pitchFamily="18" charset="0"/>
                                  </a:rPr>
                                  <m:t>5,2</m:t>
                                </m:r>
                              </m:sub>
                            </m:sSub>
                            <m:r>
                              <a:rPr lang="de-DE" sz="1800" i="1">
                                <a:latin typeface="Cambria Math" panose="02040503050406030204" pitchFamily="18" charset="0"/>
                              </a:rPr>
                              <m:t>⋅</m:t>
                            </m:r>
                            <m:sSub>
                              <m:sSubPr>
                                <m:ctrlPr>
                                  <a:rPr lang="de-DE" sz="1800" i="1">
                                    <a:latin typeface="Cambria Math" panose="02040503050406030204" pitchFamily="18" charset="0"/>
                                  </a:rPr>
                                </m:ctrlPr>
                              </m:sSubPr>
                              <m:e>
                                <m:r>
                                  <a:rPr lang="de-DE" sz="1800" i="1">
                                    <a:latin typeface="Cambria Math" panose="02040503050406030204" pitchFamily="18" charset="0"/>
                                  </a:rPr>
                                  <m:t>𝐴</m:t>
                                </m:r>
                              </m:e>
                              <m:sub>
                                <m:r>
                                  <a:rPr lang="de-DE" sz="1800" b="0" i="1">
                                    <a:latin typeface="Cambria Math" panose="02040503050406030204" pitchFamily="18" charset="0"/>
                                  </a:rPr>
                                  <m:t>𝐷𝑎𝑐h</m:t>
                                </m:r>
                              </m:sub>
                            </m:sSub>
                            <m:r>
                              <a:rPr lang="de-DE" sz="1800" i="1">
                                <a:latin typeface="Cambria Math" panose="02040503050406030204" pitchFamily="18" charset="0"/>
                              </a:rPr>
                              <m:t>⋅</m:t>
                            </m:r>
                            <m:r>
                              <a:rPr lang="de-DE" sz="1800" b="0" i="1">
                                <a:latin typeface="Cambria Math" panose="02040503050406030204" pitchFamily="18" charset="0"/>
                              </a:rPr>
                              <m:t>𝐶</m:t>
                            </m:r>
                          </m:e>
                        </m:d>
                      </m:e>
                    </m:d>
                    <m:r>
                      <a:rPr lang="de-DE" sz="1800" i="1">
                        <a:latin typeface="Cambria Math" panose="02040503050406030204" pitchFamily="18" charset="0"/>
                      </a:rPr>
                      <m:t>⋅</m:t>
                    </m:r>
                    <m:f>
                      <m:fPr>
                        <m:ctrlPr>
                          <a:rPr lang="de-DE" sz="1800" i="1">
                            <a:latin typeface="Cambria Math" panose="02040503050406030204" pitchFamily="18" charset="0"/>
                          </a:rPr>
                        </m:ctrlPr>
                      </m:fPr>
                      <m:num>
                        <m:r>
                          <a:rPr lang="de-DE" sz="1800" b="0" i="1">
                            <a:latin typeface="Cambria Math" panose="02040503050406030204" pitchFamily="18" charset="0"/>
                          </a:rPr>
                          <m:t>𝐷</m:t>
                        </m:r>
                        <m:r>
                          <a:rPr lang="de-DE" sz="1800" i="1">
                            <a:latin typeface="Cambria Math" panose="02040503050406030204" pitchFamily="18" charset="0"/>
                          </a:rPr>
                          <m:t>⋅</m:t>
                        </m:r>
                        <m:r>
                          <a:rPr lang="de-DE" sz="1800" b="0" i="1">
                            <a:latin typeface="Cambria Math" panose="02040503050406030204" pitchFamily="18" charset="0"/>
                          </a:rPr>
                          <m:t>60</m:t>
                        </m:r>
                      </m:num>
                      <m:den>
                        <m:sSup>
                          <m:sSupPr>
                            <m:ctrlPr>
                              <a:rPr lang="de-DE" sz="1800" i="1">
                                <a:latin typeface="Cambria Math" panose="02040503050406030204" pitchFamily="18" charset="0"/>
                              </a:rPr>
                            </m:ctrlPr>
                          </m:sSupPr>
                          <m:e>
                            <m:r>
                              <a:rPr lang="de-DE" sz="1800" b="0" i="1">
                                <a:latin typeface="Cambria Math" panose="02040503050406030204" pitchFamily="18" charset="0"/>
                              </a:rPr>
                              <m:t>10</m:t>
                            </m:r>
                          </m:e>
                          <m:sup>
                            <m:r>
                              <a:rPr lang="de-DE" sz="1800" i="1">
                                <a:latin typeface="Cambria Math" panose="02040503050406030204" pitchFamily="18" charset="0"/>
                              </a:rPr>
                              <m:t>7</m:t>
                            </m:r>
                          </m:sup>
                        </m:sSup>
                      </m:den>
                    </m:f>
                  </m:oMath>
                </m:oMathPara>
              </a14:m>
              <a:endParaRPr lang="de-DE" sz="1800"/>
            </a:p>
          </xdr:txBody>
        </xdr:sp>
      </mc:Choice>
      <mc:Fallback xmlns="">
        <xdr:sp macro="" textlink="">
          <xdr:nvSpPr>
            <xdr:cNvPr id="6" name="Textfeld 5"/>
            <xdr:cNvSpPr txBox="1"/>
          </xdr:nvSpPr>
          <xdr:spPr>
            <a:xfrm>
              <a:off x="3081735" y="15656421"/>
              <a:ext cx="5867587" cy="3800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800" b="0" i="0">
                  <a:latin typeface="Cambria Math" panose="02040503050406030204" pitchFamily="18" charset="0"/>
                </a:rPr>
                <a:t>𝑉_𝑅ü𝑐𝑘</a:t>
              </a:r>
              <a:r>
                <a:rPr lang="de-DE" sz="1800" i="0">
                  <a:latin typeface="Cambria Math" panose="02040503050406030204" pitchFamily="18" charset="0"/>
                </a:rPr>
                <a:t>=(𝑟_(</a:t>
              </a:r>
              <a:r>
                <a:rPr lang="de-DE" sz="1800" b="0" i="0">
                  <a:latin typeface="Cambria Math" panose="02040503050406030204" pitchFamily="18" charset="0"/>
                </a:rPr>
                <a:t>𝐷,30)</a:t>
              </a:r>
              <a:r>
                <a:rPr lang="de-DE" sz="1800" i="0">
                  <a:latin typeface="Cambria Math" panose="02040503050406030204" pitchFamily="18" charset="0"/>
                </a:rPr>
                <a:t>⋅𝐴_</a:t>
              </a:r>
              <a:r>
                <a:rPr lang="de-DE" sz="1800" b="0" i="0">
                  <a:latin typeface="Cambria Math" panose="02040503050406030204" pitchFamily="18" charset="0"/>
                </a:rPr>
                <a:t>𝑔𝑒𝑠</a:t>
              </a:r>
              <a:r>
                <a:rPr lang="de-DE" sz="1800" i="0">
                  <a:latin typeface="Cambria Math" panose="02040503050406030204" pitchFamily="18" charset="0"/>
                </a:rPr>
                <a:t>−(𝑟_</a:t>
              </a:r>
              <a:r>
                <a:rPr lang="de-DE" sz="1800" b="0" i="0">
                  <a:latin typeface="Cambria Math" panose="02040503050406030204" pitchFamily="18" charset="0"/>
                </a:rPr>
                <a:t>5,2</a:t>
              </a:r>
              <a:r>
                <a:rPr lang="de-DE" sz="1800" i="0">
                  <a:latin typeface="Cambria Math" panose="02040503050406030204" pitchFamily="18" charset="0"/>
                </a:rPr>
                <a:t>⋅𝐴_</a:t>
              </a:r>
              <a:r>
                <a:rPr lang="de-DE" sz="1800" b="0" i="0">
                  <a:latin typeface="Cambria Math" panose="02040503050406030204" pitchFamily="18" charset="0"/>
                </a:rPr>
                <a:t>𝐹𝑙ä𝑐ℎ𝑒</a:t>
              </a:r>
              <a:r>
                <a:rPr lang="de-DE" sz="1800" i="0">
                  <a:latin typeface="Cambria Math" panose="02040503050406030204" pitchFamily="18" charset="0"/>
                </a:rPr>
                <a:t>⋅𝐶+𝑟_</a:t>
              </a:r>
              <a:r>
                <a:rPr lang="de-DE" sz="1800" b="0" i="0">
                  <a:latin typeface="Cambria Math" panose="02040503050406030204" pitchFamily="18" charset="0"/>
                </a:rPr>
                <a:t>5,2</a:t>
              </a:r>
              <a:r>
                <a:rPr lang="de-DE" sz="1800" i="0">
                  <a:latin typeface="Cambria Math" panose="02040503050406030204" pitchFamily="18" charset="0"/>
                </a:rPr>
                <a:t>⋅𝐴_</a:t>
              </a:r>
              <a:r>
                <a:rPr lang="de-DE" sz="1800" b="0" i="0">
                  <a:latin typeface="Cambria Math" panose="02040503050406030204" pitchFamily="18" charset="0"/>
                </a:rPr>
                <a:t>𝐷𝑎𝑐ℎ</a:t>
              </a:r>
              <a:r>
                <a:rPr lang="de-DE" sz="1800" i="0">
                  <a:latin typeface="Cambria Math" panose="02040503050406030204" pitchFamily="18" charset="0"/>
                </a:rPr>
                <a:t>⋅</a:t>
              </a:r>
              <a:r>
                <a:rPr lang="de-DE" sz="1800" b="0" i="0">
                  <a:latin typeface="Cambria Math" panose="02040503050406030204" pitchFamily="18" charset="0"/>
                </a:rPr>
                <a:t>𝐶))</a:t>
              </a:r>
              <a:r>
                <a:rPr lang="de-DE" sz="1800" i="0">
                  <a:latin typeface="Cambria Math" panose="02040503050406030204" pitchFamily="18" charset="0"/>
                </a:rPr>
                <a:t>⋅(</a:t>
              </a:r>
              <a:r>
                <a:rPr lang="de-DE" sz="1800" b="0" i="0">
                  <a:latin typeface="Cambria Math" panose="02040503050406030204" pitchFamily="18" charset="0"/>
                </a:rPr>
                <a:t>𝐷</a:t>
              </a:r>
              <a:r>
                <a:rPr lang="de-DE" sz="1800" i="0">
                  <a:latin typeface="Cambria Math" panose="02040503050406030204" pitchFamily="18" charset="0"/>
                </a:rPr>
                <a:t>⋅</a:t>
              </a:r>
              <a:r>
                <a:rPr lang="de-DE" sz="1800" b="0" i="0">
                  <a:latin typeface="Cambria Math" panose="02040503050406030204" pitchFamily="18" charset="0"/>
                </a:rPr>
                <a:t>60)/〖10〗^</a:t>
              </a:r>
              <a:r>
                <a:rPr lang="de-DE" sz="1800" i="0">
                  <a:latin typeface="Cambria Math" panose="02040503050406030204" pitchFamily="18" charset="0"/>
                </a:rPr>
                <a:t>7 </a:t>
              </a:r>
              <a:endParaRPr lang="de-DE" sz="1800"/>
            </a:p>
          </xdr:txBody>
        </xdr:sp>
      </mc:Fallback>
    </mc:AlternateContent>
    <xdr:clientData/>
  </xdr:twoCellAnchor>
  <xdr:twoCellAnchor editAs="oneCell">
    <xdr:from>
      <xdr:col>10</xdr:col>
      <xdr:colOff>291193</xdr:colOff>
      <xdr:row>0</xdr:row>
      <xdr:rowOff>89493</xdr:rowOff>
    </xdr:from>
    <xdr:to>
      <xdr:col>11</xdr:col>
      <xdr:colOff>477128</xdr:colOff>
      <xdr:row>1</xdr:row>
      <xdr:rowOff>163126</xdr:rowOff>
    </xdr:to>
    <xdr:pic>
      <xdr:nvPicPr>
        <xdr:cNvPr id="4" name="Grafik 3"/>
        <xdr:cNvPicPr>
          <a:picLocks noChangeAspect="1"/>
        </xdr:cNvPicPr>
      </xdr:nvPicPr>
      <xdr:blipFill>
        <a:blip xmlns:r="http://schemas.openxmlformats.org/officeDocument/2006/relationships" r:embed="rId1"/>
        <a:stretch>
          <a:fillRect/>
        </a:stretch>
      </xdr:blipFill>
      <xdr:spPr>
        <a:xfrm>
          <a:off x="8587468" y="89493"/>
          <a:ext cx="1052710" cy="340333"/>
        </a:xfrm>
        <a:prstGeom prst="rect">
          <a:avLst/>
        </a:prstGeom>
      </xdr:spPr>
    </xdr:pic>
    <xdr:clientData/>
  </xdr:twoCellAnchor>
  <xdr:twoCellAnchor>
    <xdr:from>
      <xdr:col>3</xdr:col>
      <xdr:colOff>760810</xdr:colOff>
      <xdr:row>2</xdr:row>
      <xdr:rowOff>523874</xdr:rowOff>
    </xdr:from>
    <xdr:to>
      <xdr:col>7</xdr:col>
      <xdr:colOff>11485</xdr:colOff>
      <xdr:row>5</xdr:row>
      <xdr:rowOff>133350</xdr:rowOff>
    </xdr:to>
    <mc:AlternateContent xmlns:mc="http://schemas.openxmlformats.org/markup-compatibility/2006">
      <mc:Choice xmlns:a14="http://schemas.microsoft.com/office/drawing/2010/main" Requires="a14">
        <xdr:sp macro="" textlink="">
          <xdr:nvSpPr>
            <xdr:cNvPr id="7" name="Textfeld 6"/>
            <xdr:cNvSpPr txBox="1"/>
          </xdr:nvSpPr>
          <xdr:spPr>
            <a:xfrm>
              <a:off x="3046810" y="1066799"/>
              <a:ext cx="2546325" cy="6858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de-DE" sz="2000" i="1">
                            <a:latin typeface="Cambria Math" panose="02040503050406030204" pitchFamily="18" charset="0"/>
                          </a:rPr>
                        </m:ctrlPr>
                      </m:sSubPr>
                      <m:e>
                        <m:r>
                          <a:rPr lang="de-DE" sz="2000" i="1">
                            <a:latin typeface="Cambria Math" panose="02040503050406030204" pitchFamily="18" charset="0"/>
                          </a:rPr>
                          <m:t>𝑄</m:t>
                        </m:r>
                      </m:e>
                      <m:sub>
                        <m:r>
                          <a:rPr lang="de-DE" sz="2000" i="1">
                            <a:latin typeface="Cambria Math" panose="02040503050406030204" pitchFamily="18" charset="0"/>
                          </a:rPr>
                          <m:t>𝑅</m:t>
                        </m:r>
                      </m:sub>
                    </m:sSub>
                    <m:r>
                      <a:rPr lang="de-DE" sz="2000" i="1">
                        <a:latin typeface="Cambria Math" panose="02040503050406030204" pitchFamily="18" charset="0"/>
                      </a:rPr>
                      <m:t>=</m:t>
                    </m:r>
                    <m:sSub>
                      <m:sSubPr>
                        <m:ctrlPr>
                          <a:rPr lang="de-DE" sz="2000" i="1">
                            <a:latin typeface="Cambria Math" panose="02040503050406030204" pitchFamily="18" charset="0"/>
                          </a:rPr>
                        </m:ctrlPr>
                      </m:sSubPr>
                      <m:e>
                        <m:r>
                          <a:rPr lang="de-DE" sz="2000" b="0" i="1">
                            <a:latin typeface="Cambria Math" panose="02040503050406030204" pitchFamily="18" charset="0"/>
                          </a:rPr>
                          <m:t>𝑟</m:t>
                        </m:r>
                      </m:e>
                      <m:sub>
                        <m:r>
                          <a:rPr lang="de-DE" sz="2000" b="0" i="1">
                            <a:latin typeface="Cambria Math" panose="02040503050406030204" pitchFamily="18" charset="0"/>
                          </a:rPr>
                          <m:t>(</m:t>
                        </m:r>
                        <m:r>
                          <a:rPr lang="de-DE" sz="2000" i="1">
                            <a:latin typeface="Cambria Math" panose="02040503050406030204" pitchFamily="18" charset="0"/>
                          </a:rPr>
                          <m:t>𝐷</m:t>
                        </m:r>
                        <m:r>
                          <a:rPr lang="de-DE" sz="2000" b="0" i="1">
                            <a:latin typeface="Cambria Math" panose="02040503050406030204" pitchFamily="18" charset="0"/>
                          </a:rPr>
                          <m:t>,</m:t>
                        </m:r>
                        <m:r>
                          <a:rPr lang="de-DE" sz="2000" b="0" i="1">
                            <a:latin typeface="Cambria Math" panose="02040503050406030204" pitchFamily="18" charset="0"/>
                          </a:rPr>
                          <m:t>𝑇</m:t>
                        </m:r>
                        <m:r>
                          <a:rPr lang="de-DE" sz="2000" b="0" i="1">
                            <a:latin typeface="Cambria Math" panose="02040503050406030204" pitchFamily="18" charset="0"/>
                          </a:rPr>
                          <m:t>)</m:t>
                        </m:r>
                      </m:sub>
                    </m:sSub>
                    <m:r>
                      <a:rPr lang="de-DE" sz="2000" i="1">
                        <a:latin typeface="Cambria Math" panose="02040503050406030204" pitchFamily="18" charset="0"/>
                      </a:rPr>
                      <m:t>⋅</m:t>
                    </m:r>
                    <m:r>
                      <a:rPr lang="de-DE" sz="2000" b="0" i="1">
                        <a:latin typeface="Cambria Math" panose="02040503050406030204" pitchFamily="18" charset="0"/>
                      </a:rPr>
                      <m:t>𝑐</m:t>
                    </m:r>
                    <m:r>
                      <a:rPr lang="de-DE" sz="2000" i="1">
                        <a:latin typeface="Cambria Math" panose="02040503050406030204" pitchFamily="18" charset="0"/>
                      </a:rPr>
                      <m:t>⋅</m:t>
                    </m:r>
                    <m:r>
                      <a:rPr lang="de-DE" sz="2000" i="1">
                        <a:latin typeface="Cambria Math" panose="02040503050406030204" pitchFamily="18" charset="0"/>
                      </a:rPr>
                      <m:t>𝐴</m:t>
                    </m:r>
                    <m:r>
                      <a:rPr lang="de-DE" sz="2000" i="1">
                        <a:latin typeface="Cambria Math" panose="02040503050406030204" pitchFamily="18" charset="0"/>
                      </a:rPr>
                      <m:t>⋅</m:t>
                    </m:r>
                    <m:f>
                      <m:fPr>
                        <m:ctrlPr>
                          <a:rPr lang="de-DE" sz="2000" i="1">
                            <a:latin typeface="Cambria Math" panose="02040503050406030204" pitchFamily="18" charset="0"/>
                          </a:rPr>
                        </m:ctrlPr>
                      </m:fPr>
                      <m:num>
                        <m:r>
                          <a:rPr lang="de-DE" sz="2000" i="1">
                            <a:latin typeface="Cambria Math" panose="02040503050406030204" pitchFamily="18" charset="0"/>
                          </a:rPr>
                          <m:t>1</m:t>
                        </m:r>
                      </m:num>
                      <m:den>
                        <m:sSup>
                          <m:sSupPr>
                            <m:ctrlPr>
                              <a:rPr lang="de-DE" sz="2000" i="1">
                                <a:latin typeface="Cambria Math" panose="02040503050406030204" pitchFamily="18" charset="0"/>
                              </a:rPr>
                            </m:ctrlPr>
                          </m:sSupPr>
                          <m:e>
                            <m:r>
                              <a:rPr lang="de-DE" sz="2000" i="1">
                                <a:latin typeface="Cambria Math" panose="02040503050406030204" pitchFamily="18" charset="0"/>
                              </a:rPr>
                              <m:t>10</m:t>
                            </m:r>
                          </m:e>
                          <m:sup>
                            <m:r>
                              <a:rPr lang="de-DE" sz="2000" b="0" i="1">
                                <a:latin typeface="Cambria Math" panose="02040503050406030204" pitchFamily="18" charset="0"/>
                              </a:rPr>
                              <m:t>4</m:t>
                            </m:r>
                          </m:sup>
                        </m:sSup>
                      </m:den>
                    </m:f>
                  </m:oMath>
                </m:oMathPara>
              </a14:m>
              <a:endParaRPr lang="de-DE" sz="800"/>
            </a:p>
          </xdr:txBody>
        </xdr:sp>
      </mc:Choice>
      <mc:Fallback>
        <xdr:sp macro="" textlink="">
          <xdr:nvSpPr>
            <xdr:cNvPr id="7" name="Textfeld 6"/>
            <xdr:cNvSpPr txBox="1"/>
          </xdr:nvSpPr>
          <xdr:spPr>
            <a:xfrm>
              <a:off x="3046810" y="1066799"/>
              <a:ext cx="2546325" cy="6858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DE" sz="2000" i="0">
                  <a:latin typeface="Cambria Math" panose="02040503050406030204" pitchFamily="18" charset="0"/>
                </a:rPr>
                <a:t>𝑄_𝑅=</a:t>
              </a:r>
              <a:r>
                <a:rPr lang="de-DE" sz="2000" b="0" i="0">
                  <a:latin typeface="Cambria Math" panose="02040503050406030204" pitchFamily="18" charset="0"/>
                </a:rPr>
                <a:t>𝑟_((</a:t>
              </a:r>
              <a:r>
                <a:rPr lang="de-DE" sz="2000" i="0">
                  <a:latin typeface="Cambria Math" panose="02040503050406030204" pitchFamily="18" charset="0"/>
                </a:rPr>
                <a:t>𝐷</a:t>
              </a:r>
              <a:r>
                <a:rPr lang="de-DE" sz="2000" b="0" i="0">
                  <a:latin typeface="Cambria Math" panose="02040503050406030204" pitchFamily="18" charset="0"/>
                </a:rPr>
                <a:t>,𝑇))</a:t>
              </a:r>
              <a:r>
                <a:rPr lang="de-DE" sz="2000" i="0">
                  <a:latin typeface="Cambria Math" panose="02040503050406030204" pitchFamily="18" charset="0"/>
                </a:rPr>
                <a:t>⋅</a:t>
              </a:r>
              <a:r>
                <a:rPr lang="de-DE" sz="2000" b="0" i="0">
                  <a:latin typeface="Cambria Math" panose="02040503050406030204" pitchFamily="18" charset="0"/>
                </a:rPr>
                <a:t>𝑐</a:t>
              </a:r>
              <a:r>
                <a:rPr lang="de-DE" sz="2000" i="0">
                  <a:latin typeface="Cambria Math" panose="02040503050406030204" pitchFamily="18" charset="0"/>
                </a:rPr>
                <a:t>⋅𝐴⋅1/〖10〗^</a:t>
              </a:r>
              <a:r>
                <a:rPr lang="de-DE" sz="2000" b="0" i="0">
                  <a:latin typeface="Cambria Math" panose="02040503050406030204" pitchFamily="18" charset="0"/>
                </a:rPr>
                <a:t>4 </a:t>
              </a:r>
              <a:endParaRPr lang="de-DE" sz="800"/>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xdr:colOff>
      <xdr:row>127</xdr:row>
      <xdr:rowOff>11112</xdr:rowOff>
    </xdr:from>
    <xdr:to>
      <xdr:col>8</xdr:col>
      <xdr:colOff>690563</xdr:colOff>
      <xdr:row>145</xdr:row>
      <xdr:rowOff>220662</xdr:rowOff>
    </xdr:to>
    <xdr:pic>
      <xdr:nvPicPr>
        <xdr:cNvPr id="9" name="Grafik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1" y="28836143"/>
          <a:ext cx="4298156" cy="4924425"/>
        </a:xfrm>
        <a:prstGeom prst="rect">
          <a:avLst/>
        </a:prstGeom>
      </xdr:spPr>
    </xdr:pic>
    <xdr:clientData fLocksWithSheet="0"/>
  </xdr:twoCellAnchor>
  <xdr:twoCellAnchor editAs="oneCell">
    <xdr:from>
      <xdr:col>4</xdr:col>
      <xdr:colOff>11392</xdr:colOff>
      <xdr:row>86</xdr:row>
      <xdr:rowOff>109904</xdr:rowOff>
    </xdr:from>
    <xdr:to>
      <xdr:col>7</xdr:col>
      <xdr:colOff>935697</xdr:colOff>
      <xdr:row>99</xdr:row>
      <xdr:rowOff>16680</xdr:rowOff>
    </xdr:to>
    <xdr:pic>
      <xdr:nvPicPr>
        <xdr:cNvPr id="53" name="Grafik 52"/>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3059392" y="17833731"/>
          <a:ext cx="3554670" cy="3240526"/>
        </a:xfrm>
        <a:prstGeom prst="rect">
          <a:avLst/>
        </a:prstGeom>
      </xdr:spPr>
    </xdr:pic>
    <xdr:clientData/>
  </xdr:twoCellAnchor>
  <xdr:twoCellAnchor>
    <xdr:from>
      <xdr:col>7</xdr:col>
      <xdr:colOff>5836</xdr:colOff>
      <xdr:row>52</xdr:row>
      <xdr:rowOff>33024</xdr:rowOff>
    </xdr:from>
    <xdr:to>
      <xdr:col>8</xdr:col>
      <xdr:colOff>301302</xdr:colOff>
      <xdr:row>53</xdr:row>
      <xdr:rowOff>29159</xdr:rowOff>
    </xdr:to>
    <mc:AlternateContent xmlns:mc="http://schemas.openxmlformats.org/markup-compatibility/2006" xmlns:a14="http://schemas.microsoft.com/office/drawing/2010/main">
      <mc:Choice Requires="a14">
        <xdr:sp macro="" textlink="">
          <xdr:nvSpPr>
            <xdr:cNvPr id="3" name="Textfeld 2"/>
            <xdr:cNvSpPr txBox="1"/>
          </xdr:nvSpPr>
          <xdr:spPr>
            <a:xfrm>
              <a:off x="5682736" y="9577074"/>
              <a:ext cx="1267016" cy="253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1">
                            <a:latin typeface="Cambria Math" panose="02040503050406030204" pitchFamily="18" charset="0"/>
                          </a:rPr>
                          <m:t>𝑽</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0">
                            <a:latin typeface="Cambria Math" panose="02040503050406030204" pitchFamily="18" charset="0"/>
                          </a:rPr>
                          <m:t>𝐕</m:t>
                        </m:r>
                        <m:r>
                          <a:rPr lang="de-DE" sz="1200" b="1" i="0">
                            <a:latin typeface="Cambria Math" panose="02040503050406030204" pitchFamily="18" charset="0"/>
                          </a:rPr>
                          <m:t>,</m:t>
                        </m:r>
                        <m:r>
                          <a:rPr lang="de-DE" sz="1200" b="1" i="0">
                            <a:latin typeface="Cambria Math" panose="02040503050406030204" pitchFamily="18" charset="0"/>
                          </a:rPr>
                          <m:t>𝐑</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0">
                            <a:latin typeface="Cambria Math" panose="02040503050406030204" pitchFamily="18" charset="0"/>
                          </a:rPr>
                          <m:t>𝐕</m:t>
                        </m:r>
                        <m:r>
                          <a:rPr lang="de-DE" sz="1200" b="1" i="0">
                            <a:latin typeface="Cambria Math" panose="02040503050406030204" pitchFamily="18" charset="0"/>
                          </a:rPr>
                          <m:t>,</m:t>
                        </m:r>
                        <m:r>
                          <a:rPr lang="de-DE" sz="1200" b="1" i="0">
                            <a:latin typeface="Cambria Math" panose="02040503050406030204" pitchFamily="18" charset="0"/>
                          </a:rPr>
                          <m:t>𝐀</m:t>
                        </m:r>
                      </m:sub>
                    </m:sSub>
                  </m:oMath>
                </m:oMathPara>
              </a14:m>
              <a:endParaRPr lang="de-DE" sz="2000" b="1" i="0"/>
            </a:p>
          </xdr:txBody>
        </xdr:sp>
      </mc:Choice>
      <mc:Fallback xmlns="">
        <xdr:sp macro="" textlink="">
          <xdr:nvSpPr>
            <xdr:cNvPr id="3" name="Textfeld 2"/>
            <xdr:cNvSpPr txBox="1"/>
          </xdr:nvSpPr>
          <xdr:spPr>
            <a:xfrm>
              <a:off x="5682736" y="9577074"/>
              <a:ext cx="1267016" cy="253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200" b="1" i="0">
                  <a:latin typeface="Cambria Math" panose="02040503050406030204" pitchFamily="18" charset="0"/>
                </a:rPr>
                <a:t>𝐇_𝑽=𝐇_(𝐕,𝐑)+𝐇_(𝐕,𝐀)</a:t>
              </a:r>
              <a:endParaRPr lang="de-DE" sz="2000" b="1" i="0"/>
            </a:p>
          </xdr:txBody>
        </xdr:sp>
      </mc:Fallback>
    </mc:AlternateContent>
    <xdr:clientData/>
  </xdr:twoCellAnchor>
  <xdr:twoCellAnchor>
    <xdr:from>
      <xdr:col>3</xdr:col>
      <xdr:colOff>590938</xdr:colOff>
      <xdr:row>19</xdr:row>
      <xdr:rowOff>74595</xdr:rowOff>
    </xdr:from>
    <xdr:to>
      <xdr:col>6</xdr:col>
      <xdr:colOff>632392</xdr:colOff>
      <xdr:row>22</xdr:row>
      <xdr:rowOff>10010</xdr:rowOff>
    </xdr:to>
    <mc:AlternateContent xmlns:mc="http://schemas.openxmlformats.org/markup-compatibility/2006" xmlns:a14="http://schemas.microsoft.com/office/drawing/2010/main">
      <mc:Choice Requires="a14">
        <xdr:sp macro="" textlink="">
          <xdr:nvSpPr>
            <xdr:cNvPr id="4" name="Textfeld 3"/>
            <xdr:cNvSpPr txBox="1"/>
          </xdr:nvSpPr>
          <xdr:spPr>
            <a:xfrm>
              <a:off x="2876938" y="3629025"/>
              <a:ext cx="2670354"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de-DE" sz="1200" b="1" i="0">
                        <a:latin typeface="Cambria Math" panose="02040503050406030204" pitchFamily="18" charset="0"/>
                      </a:rPr>
                      <m:t>𝐇</m:t>
                    </m:r>
                    <m:r>
                      <a:rPr lang="de-DE" sz="1200" b="1" i="0" baseline="-25000">
                        <a:latin typeface="Cambria Math" panose="02040503050406030204" pitchFamily="18" charset="0"/>
                      </a:rPr>
                      <m:t>𝐕</m:t>
                    </m:r>
                    <m:r>
                      <a:rPr lang="de-DE" sz="1200" b="1" i="0">
                        <a:latin typeface="Cambria Math" panose="02040503050406030204" pitchFamily="18" charset="0"/>
                      </a:rPr>
                      <m:t>=(</m:t>
                    </m:r>
                    <m:r>
                      <a:rPr lang="de-DE" sz="1200" b="1" i="0">
                        <a:latin typeface="Cambria Math" panose="02040503050406030204" pitchFamily="18" charset="0"/>
                      </a:rPr>
                      <m:t>𝛌</m:t>
                    </m:r>
                    <m:r>
                      <a:rPr lang="de-DE" sz="1200" b="1" i="0">
                        <a:latin typeface="Cambria Math" panose="02040503050406030204" pitchFamily="18" charset="0"/>
                      </a:rPr>
                      <m:t>⋅</m:t>
                    </m:r>
                    <m:f>
                      <m:fPr>
                        <m:ctrlPr>
                          <a:rPr lang="de-DE" sz="1200" b="1" i="1">
                            <a:latin typeface="Cambria Math" panose="02040503050406030204" pitchFamily="18" charset="0"/>
                          </a:rPr>
                        </m:ctrlPr>
                      </m:fPr>
                      <m:num>
                        <m:r>
                          <a:rPr lang="de-DE" sz="1200" b="1" i="0">
                            <a:latin typeface="Cambria Math" panose="02040503050406030204" pitchFamily="18" charset="0"/>
                          </a:rPr>
                          <m:t>𝐥</m:t>
                        </m:r>
                      </m:num>
                      <m:den>
                        <m:r>
                          <a:rPr lang="de-DE" sz="1200" b="1" i="0">
                            <a:latin typeface="Cambria Math" panose="02040503050406030204" pitchFamily="18" charset="0"/>
                          </a:rPr>
                          <m:t>𝐝</m:t>
                        </m:r>
                      </m:den>
                    </m:f>
                    <m:r>
                      <a:rPr lang="de-DE" sz="1200" b="1" i="0">
                        <a:latin typeface="Cambria Math" panose="02040503050406030204" pitchFamily="18" charset="0"/>
                      </a:rPr>
                      <m:t>+</m:t>
                    </m:r>
                    <m:r>
                      <a:rPr lang="el-GR" sz="1200" b="1" i="0">
                        <a:latin typeface="Cambria Math" panose="02040503050406030204" pitchFamily="18" charset="0"/>
                      </a:rPr>
                      <m:t>𝚺</m:t>
                    </m:r>
                    <m:r>
                      <a:rPr lang="de-DE" sz="1050" b="1" i="0">
                        <a:solidFill>
                          <a:schemeClr val="tx1"/>
                        </a:solidFill>
                        <a:effectLst/>
                        <a:latin typeface="Cambria Math" panose="02040503050406030204" pitchFamily="18" charset="0"/>
                        <a:ea typeface="+mn-ea"/>
                        <a:cs typeface="+mn-cs"/>
                      </a:rPr>
                      <m:t>𝛇</m:t>
                    </m:r>
                    <m:r>
                      <a:rPr lang="de-DE" sz="1050" b="1" i="0">
                        <a:solidFill>
                          <a:schemeClr val="tx1"/>
                        </a:solidFill>
                        <a:effectLst/>
                        <a:latin typeface="Cambria Math" panose="02040503050406030204" pitchFamily="18" charset="0"/>
                        <a:ea typeface="+mn-ea"/>
                        <a:cs typeface="+mn-cs"/>
                      </a:rPr>
                      <m:t>)</m:t>
                    </m:r>
                    <m:r>
                      <a:rPr lang="de-DE" sz="1200" b="1" i="0">
                        <a:latin typeface="Cambria Math" panose="02040503050406030204" pitchFamily="18" charset="0"/>
                      </a:rPr>
                      <m:t>⋅</m:t>
                    </m:r>
                    <m:f>
                      <m:fPr>
                        <m:ctrlPr>
                          <a:rPr lang="de-DE" sz="1200" b="1" i="1">
                            <a:latin typeface="Cambria Math" panose="02040503050406030204" pitchFamily="18" charset="0"/>
                          </a:rPr>
                        </m:ctrlPr>
                      </m:fPr>
                      <m:num>
                        <m:sSup>
                          <m:sSupPr>
                            <m:ctrlPr>
                              <a:rPr lang="de-DE" sz="1200" b="1" i="1">
                                <a:latin typeface="Cambria Math" panose="02040503050406030204" pitchFamily="18" charset="0"/>
                              </a:rPr>
                            </m:ctrlPr>
                          </m:sSupPr>
                          <m:e>
                            <m:r>
                              <a:rPr lang="de-DE" sz="1200" b="1" i="0">
                                <a:latin typeface="Cambria Math" panose="02040503050406030204" pitchFamily="18" charset="0"/>
                              </a:rPr>
                              <m:t>𝐯</m:t>
                            </m:r>
                          </m:e>
                          <m:sup>
                            <m:r>
                              <a:rPr lang="de-DE" sz="1200" b="1" i="0">
                                <a:latin typeface="Cambria Math" panose="02040503050406030204" pitchFamily="18" charset="0"/>
                              </a:rPr>
                              <m:t>𝟐</m:t>
                            </m:r>
                          </m:sup>
                        </m:sSup>
                      </m:num>
                      <m:den>
                        <m:r>
                          <a:rPr lang="de-DE" sz="1200" b="1" i="0">
                            <a:latin typeface="Cambria Math" panose="02040503050406030204" pitchFamily="18" charset="0"/>
                          </a:rPr>
                          <m:t>𝟐</m:t>
                        </m:r>
                        <m:r>
                          <a:rPr lang="de-DE" sz="1200" b="1" i="0">
                            <a:latin typeface="Cambria Math" panose="02040503050406030204" pitchFamily="18" charset="0"/>
                          </a:rPr>
                          <m:t>⋅</m:t>
                        </m:r>
                        <m:r>
                          <a:rPr lang="de-DE" sz="1200" b="1" i="0">
                            <a:latin typeface="Cambria Math" panose="02040503050406030204" pitchFamily="18" charset="0"/>
                          </a:rPr>
                          <m:t>𝐠</m:t>
                        </m:r>
                      </m:den>
                    </m:f>
                  </m:oMath>
                </m:oMathPara>
              </a14:m>
              <a:endParaRPr lang="de-DE" sz="1200" b="1" i="0"/>
            </a:p>
          </xdr:txBody>
        </xdr:sp>
      </mc:Choice>
      <mc:Fallback xmlns="">
        <xdr:sp macro="" textlink="">
          <xdr:nvSpPr>
            <xdr:cNvPr id="4" name="Textfeld 3"/>
            <xdr:cNvSpPr txBox="1"/>
          </xdr:nvSpPr>
          <xdr:spPr>
            <a:xfrm>
              <a:off x="2876938" y="3629025"/>
              <a:ext cx="2670354"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200" b="1" i="0">
                  <a:latin typeface="Cambria Math" panose="02040503050406030204" pitchFamily="18" charset="0"/>
                </a:rPr>
                <a:t>𝐇</a:t>
              </a:r>
              <a:r>
                <a:rPr lang="de-DE" sz="1200" b="1" i="0" baseline="-25000">
                  <a:latin typeface="Cambria Math" panose="02040503050406030204" pitchFamily="18" charset="0"/>
                </a:rPr>
                <a:t>𝐕</a:t>
              </a:r>
              <a:r>
                <a:rPr lang="de-DE" sz="1200" b="1" i="0">
                  <a:latin typeface="Cambria Math" panose="02040503050406030204" pitchFamily="18" charset="0"/>
                </a:rPr>
                <a:t>=(𝛌⋅𝐥/𝐝+</a:t>
              </a:r>
              <a:r>
                <a:rPr lang="el-GR" sz="1200" b="1" i="0">
                  <a:latin typeface="Cambria Math" panose="02040503050406030204" pitchFamily="18" charset="0"/>
                </a:rPr>
                <a:t>𝚺</a:t>
              </a:r>
              <a:r>
                <a:rPr lang="de-DE" sz="1050" b="1" i="0">
                  <a:solidFill>
                    <a:schemeClr val="tx1"/>
                  </a:solidFill>
                  <a:effectLst/>
                  <a:latin typeface="Cambria Math" panose="02040503050406030204" pitchFamily="18" charset="0"/>
                  <a:ea typeface="+mn-ea"/>
                  <a:cs typeface="+mn-cs"/>
                </a:rPr>
                <a:t>𝛇)</a:t>
              </a:r>
              <a:r>
                <a:rPr lang="de-DE" sz="1200" b="1" i="0">
                  <a:latin typeface="Cambria Math" panose="02040503050406030204" pitchFamily="18" charset="0"/>
                </a:rPr>
                <a:t>⋅𝐯^𝟐/(𝟐⋅𝐠)</a:t>
              </a:r>
              <a:endParaRPr lang="de-DE" sz="1200" b="1" i="0"/>
            </a:p>
          </xdr:txBody>
        </xdr:sp>
      </mc:Fallback>
    </mc:AlternateContent>
    <xdr:clientData/>
  </xdr:twoCellAnchor>
  <xdr:twoCellAnchor>
    <xdr:from>
      <xdr:col>3</xdr:col>
      <xdr:colOff>577090</xdr:colOff>
      <xdr:row>14</xdr:row>
      <xdr:rowOff>24055</xdr:rowOff>
    </xdr:from>
    <xdr:to>
      <xdr:col>6</xdr:col>
      <xdr:colOff>246096</xdr:colOff>
      <xdr:row>15</xdr:row>
      <xdr:rowOff>104345</xdr:rowOff>
    </xdr:to>
    <mc:AlternateContent xmlns:mc="http://schemas.openxmlformats.org/markup-compatibility/2006" xmlns:a14="http://schemas.microsoft.com/office/drawing/2010/main">
      <mc:Choice Requires="a14">
        <xdr:sp macro="" textlink="">
          <xdr:nvSpPr>
            <xdr:cNvPr id="5" name="Textfeld 4"/>
            <xdr:cNvSpPr txBox="1"/>
          </xdr:nvSpPr>
          <xdr:spPr>
            <a:xfrm>
              <a:off x="2863090" y="3629025"/>
              <a:ext cx="2297906"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1">
                            <a:latin typeface="Cambria Math" panose="02040503050406030204" pitchFamily="18" charset="0"/>
                          </a:rPr>
                          <m:t>𝒕𝒐𝒕</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0">
                            <a:latin typeface="Cambria Math" panose="02040503050406030204" pitchFamily="18" charset="0"/>
                          </a:rPr>
                          <m:t>𝐕</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1">
                            <a:latin typeface="Cambria Math" panose="02040503050406030204" pitchFamily="18" charset="0"/>
                          </a:rPr>
                          <m:t>𝒈𝒆𝒐</m:t>
                        </m:r>
                      </m:sub>
                    </m:sSub>
                  </m:oMath>
                </m:oMathPara>
              </a14:m>
              <a:endParaRPr lang="de-DE" sz="1600" b="1" i="0"/>
            </a:p>
          </xdr:txBody>
        </xdr:sp>
      </mc:Choice>
      <mc:Fallback xmlns="">
        <xdr:sp macro="" textlink="">
          <xdr:nvSpPr>
            <xdr:cNvPr id="5" name="Textfeld 4"/>
            <xdr:cNvSpPr txBox="1"/>
          </xdr:nvSpPr>
          <xdr:spPr>
            <a:xfrm>
              <a:off x="2863090" y="3629025"/>
              <a:ext cx="2297906"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200" b="1" i="0">
                  <a:latin typeface="Cambria Math" panose="02040503050406030204" pitchFamily="18" charset="0"/>
                </a:rPr>
                <a:t>𝐇_𝒕𝒐𝒕=𝐇_𝐕+𝐇_𝒈𝒆𝒐</a:t>
              </a:r>
              <a:endParaRPr lang="de-DE" sz="1600" b="1" i="0"/>
            </a:p>
          </xdr:txBody>
        </xdr:sp>
      </mc:Fallback>
    </mc:AlternateContent>
    <xdr:clientData/>
  </xdr:twoCellAnchor>
  <xdr:twoCellAnchor>
    <xdr:from>
      <xdr:col>1</xdr:col>
      <xdr:colOff>738675</xdr:colOff>
      <xdr:row>190</xdr:row>
      <xdr:rowOff>213826</xdr:rowOff>
    </xdr:from>
    <xdr:to>
      <xdr:col>3</xdr:col>
      <xdr:colOff>19634</xdr:colOff>
      <xdr:row>192</xdr:row>
      <xdr:rowOff>77755</xdr:rowOff>
    </xdr:to>
    <mc:AlternateContent xmlns:mc="http://schemas.openxmlformats.org/markup-compatibility/2006" xmlns:a14="http://schemas.microsoft.com/office/drawing/2010/main">
      <mc:Choice Requires="a14">
        <xdr:sp macro="" textlink="">
          <xdr:nvSpPr>
            <xdr:cNvPr id="7" name="Textfeld 6"/>
            <xdr:cNvSpPr txBox="1"/>
          </xdr:nvSpPr>
          <xdr:spPr>
            <a:xfrm>
              <a:off x="1500675" y="25664626"/>
              <a:ext cx="804959" cy="378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de-DE" sz="1200" i="1">
                        <a:solidFill>
                          <a:sysClr val="windowText" lastClr="000000"/>
                        </a:solidFill>
                        <a:latin typeface="Cambria Math" panose="02040503050406030204" pitchFamily="18" charset="0"/>
                      </a:rPr>
                      <m:t>𝑅</m:t>
                    </m:r>
                    <m:r>
                      <a:rPr lang="de-DE" sz="1200" i="1">
                        <a:solidFill>
                          <a:sysClr val="windowText" lastClr="000000"/>
                        </a:solidFill>
                        <a:latin typeface="Cambria Math" panose="02040503050406030204" pitchFamily="18" charset="0"/>
                      </a:rPr>
                      <m:t>ⅇ=</m:t>
                    </m:r>
                    <m:f>
                      <m:fPr>
                        <m:ctrlPr>
                          <a:rPr lang="de-DE" sz="1200" i="1">
                            <a:solidFill>
                              <a:sysClr val="windowText" lastClr="000000"/>
                            </a:solidFill>
                            <a:latin typeface="Cambria Math" panose="02040503050406030204" pitchFamily="18" charset="0"/>
                          </a:rPr>
                        </m:ctrlPr>
                      </m:fPr>
                      <m:num>
                        <m:r>
                          <a:rPr lang="de-DE" sz="1200" b="0" i="1">
                            <a:solidFill>
                              <a:sysClr val="windowText" lastClr="000000"/>
                            </a:solidFill>
                            <a:latin typeface="Cambria Math" panose="02040503050406030204" pitchFamily="18" charset="0"/>
                          </a:rPr>
                          <m:t>𝑣</m:t>
                        </m:r>
                        <m:r>
                          <a:rPr lang="de-DE" sz="1200" i="1">
                            <a:solidFill>
                              <a:sysClr val="windowText" lastClr="000000"/>
                            </a:solidFill>
                            <a:latin typeface="Cambria Math" panose="02040503050406030204" pitchFamily="18" charset="0"/>
                          </a:rPr>
                          <m:t>⋅</m:t>
                        </m:r>
                        <m:r>
                          <a:rPr lang="de-DE" sz="1200" b="0" i="1">
                            <a:solidFill>
                              <a:sysClr val="windowText" lastClr="000000"/>
                            </a:solidFill>
                            <a:latin typeface="Cambria Math" panose="02040503050406030204" pitchFamily="18" charset="0"/>
                          </a:rPr>
                          <m:t>𝑑</m:t>
                        </m:r>
                      </m:num>
                      <m:den>
                        <m:r>
                          <a:rPr lang="de-DE" sz="1200" i="1">
                            <a:solidFill>
                              <a:sysClr val="windowText" lastClr="000000"/>
                            </a:solidFill>
                            <a:latin typeface="Cambria Math" panose="02040503050406030204" pitchFamily="18" charset="0"/>
                            <a:ea typeface="Cambria Math" panose="02040503050406030204" pitchFamily="18" charset="0"/>
                          </a:rPr>
                          <m:t>𝜈</m:t>
                        </m:r>
                      </m:den>
                    </m:f>
                  </m:oMath>
                </m:oMathPara>
              </a14:m>
              <a:endParaRPr lang="de-DE" sz="3200">
                <a:solidFill>
                  <a:sysClr val="windowText" lastClr="000000"/>
                </a:solidFill>
              </a:endParaRPr>
            </a:p>
          </xdr:txBody>
        </xdr:sp>
      </mc:Choice>
      <mc:Fallback xmlns="">
        <xdr:sp macro="" textlink="">
          <xdr:nvSpPr>
            <xdr:cNvPr id="7" name="Textfeld 6"/>
            <xdr:cNvSpPr txBox="1"/>
          </xdr:nvSpPr>
          <xdr:spPr>
            <a:xfrm>
              <a:off x="1500675" y="25664626"/>
              <a:ext cx="804959" cy="3782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200" i="0">
                  <a:solidFill>
                    <a:sysClr val="windowText" lastClr="000000"/>
                  </a:solidFill>
                  <a:latin typeface="Cambria Math" panose="02040503050406030204" pitchFamily="18" charset="0"/>
                </a:rPr>
                <a:t>𝑅ⅇ=(</a:t>
              </a:r>
              <a:r>
                <a:rPr lang="de-DE" sz="1200" b="0" i="0">
                  <a:solidFill>
                    <a:sysClr val="windowText" lastClr="000000"/>
                  </a:solidFill>
                  <a:latin typeface="Cambria Math" panose="02040503050406030204" pitchFamily="18" charset="0"/>
                </a:rPr>
                <a:t>𝑣</a:t>
              </a:r>
              <a:r>
                <a:rPr lang="de-DE" sz="1200" i="0">
                  <a:solidFill>
                    <a:sysClr val="windowText" lastClr="000000"/>
                  </a:solidFill>
                  <a:latin typeface="Cambria Math" panose="02040503050406030204" pitchFamily="18" charset="0"/>
                </a:rPr>
                <a:t>⋅</a:t>
              </a:r>
              <a:r>
                <a:rPr lang="de-DE" sz="1200" b="0" i="0">
                  <a:solidFill>
                    <a:sysClr val="windowText" lastClr="000000"/>
                  </a:solidFill>
                  <a:latin typeface="Cambria Math" panose="02040503050406030204" pitchFamily="18" charset="0"/>
                </a:rPr>
                <a:t>𝑑)/</a:t>
              </a:r>
              <a:r>
                <a:rPr lang="de-DE" sz="1200" i="0">
                  <a:solidFill>
                    <a:sysClr val="windowText" lastClr="000000"/>
                  </a:solidFill>
                  <a:latin typeface="Cambria Math" panose="02040503050406030204" pitchFamily="18" charset="0"/>
                  <a:ea typeface="Cambria Math" panose="02040503050406030204" pitchFamily="18" charset="0"/>
                </a:rPr>
                <a:t>𝜈</a:t>
              </a:r>
              <a:endParaRPr lang="de-DE" sz="3200">
                <a:solidFill>
                  <a:sysClr val="windowText" lastClr="000000"/>
                </a:solidFill>
              </a:endParaRPr>
            </a:p>
          </xdr:txBody>
        </xdr:sp>
      </mc:Fallback>
    </mc:AlternateContent>
    <xdr:clientData/>
  </xdr:twoCellAnchor>
  <xdr:twoCellAnchor>
    <xdr:from>
      <xdr:col>3</xdr:col>
      <xdr:colOff>612321</xdr:colOff>
      <xdr:row>190</xdr:row>
      <xdr:rowOff>204107</xdr:rowOff>
    </xdr:from>
    <xdr:to>
      <xdr:col>6</xdr:col>
      <xdr:colOff>118798</xdr:colOff>
      <xdr:row>192</xdr:row>
      <xdr:rowOff>119648</xdr:rowOff>
    </xdr:to>
    <mc:AlternateContent xmlns:mc="http://schemas.openxmlformats.org/markup-compatibility/2006" xmlns:a14="http://schemas.microsoft.com/office/drawing/2010/main">
      <mc:Choice Requires="a14">
        <xdr:sp macro="" textlink="">
          <xdr:nvSpPr>
            <xdr:cNvPr id="8" name="Textfeld 7"/>
            <xdr:cNvSpPr txBox="1"/>
          </xdr:nvSpPr>
          <xdr:spPr>
            <a:xfrm>
              <a:off x="2898321" y="25654907"/>
              <a:ext cx="2135377" cy="42989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de-DE" sz="1200" i="1">
                            <a:solidFill>
                              <a:sysClr val="windowText" lastClr="000000"/>
                            </a:solidFill>
                            <a:latin typeface="Cambria Math" panose="02040503050406030204" pitchFamily="18" charset="0"/>
                          </a:rPr>
                        </m:ctrlPr>
                      </m:fPr>
                      <m:num>
                        <m:r>
                          <a:rPr lang="de-DE" sz="1200" i="1">
                            <a:solidFill>
                              <a:sysClr val="windowText" lastClr="000000"/>
                            </a:solidFill>
                            <a:latin typeface="Cambria Math" panose="02040503050406030204" pitchFamily="18" charset="0"/>
                          </a:rPr>
                          <m:t>1</m:t>
                        </m:r>
                      </m:num>
                      <m:den>
                        <m:rad>
                          <m:radPr>
                            <m:degHide m:val="on"/>
                            <m:ctrlPr>
                              <a:rPr lang="de-DE" sz="1200" i="1">
                                <a:solidFill>
                                  <a:sysClr val="windowText" lastClr="000000"/>
                                </a:solidFill>
                                <a:latin typeface="Cambria Math" panose="02040503050406030204" pitchFamily="18" charset="0"/>
                              </a:rPr>
                            </m:ctrlPr>
                          </m:radPr>
                          <m:deg/>
                          <m:e>
                            <m:r>
                              <a:rPr lang="de-DE" sz="1200" i="1">
                                <a:solidFill>
                                  <a:sysClr val="windowText" lastClr="000000"/>
                                </a:solidFill>
                                <a:latin typeface="Cambria Math" panose="02040503050406030204" pitchFamily="18" charset="0"/>
                              </a:rPr>
                              <m:t>𝜆</m:t>
                            </m:r>
                          </m:e>
                        </m:rad>
                      </m:den>
                    </m:f>
                    <m:r>
                      <a:rPr lang="de-DE" sz="1200" i="1">
                        <a:solidFill>
                          <a:sysClr val="windowText" lastClr="000000"/>
                        </a:solidFill>
                        <a:latin typeface="Cambria Math" panose="02040503050406030204" pitchFamily="18" charset="0"/>
                      </a:rPr>
                      <m:t>=−2</m:t>
                    </m:r>
                    <m:r>
                      <a:rPr lang="de-DE" sz="1200" i="1">
                        <a:solidFill>
                          <a:sysClr val="windowText" lastClr="000000"/>
                        </a:solidFill>
                        <a:latin typeface="Cambria Math" panose="02040503050406030204" pitchFamily="18" charset="0"/>
                      </a:rPr>
                      <m:t>𝑙𝑔</m:t>
                    </m:r>
                    <m:d>
                      <m:dPr>
                        <m:begChr m:val="["/>
                        <m:endChr m:val="]"/>
                        <m:ctrlPr>
                          <a:rPr lang="de-DE" sz="1200" i="1">
                            <a:solidFill>
                              <a:sysClr val="windowText" lastClr="000000"/>
                            </a:solidFill>
                            <a:latin typeface="Cambria Math" panose="02040503050406030204" pitchFamily="18" charset="0"/>
                          </a:rPr>
                        </m:ctrlPr>
                      </m:dPr>
                      <m:e>
                        <m:f>
                          <m:fPr>
                            <m:ctrlPr>
                              <a:rPr lang="de-DE" sz="1200" i="1">
                                <a:solidFill>
                                  <a:sysClr val="windowText" lastClr="000000"/>
                                </a:solidFill>
                                <a:latin typeface="Cambria Math" panose="02040503050406030204" pitchFamily="18" charset="0"/>
                              </a:rPr>
                            </m:ctrlPr>
                          </m:fPr>
                          <m:num>
                            <m:r>
                              <a:rPr lang="de-DE" sz="1200" i="1">
                                <a:solidFill>
                                  <a:sysClr val="windowText" lastClr="000000"/>
                                </a:solidFill>
                                <a:latin typeface="Cambria Math" panose="02040503050406030204" pitchFamily="18" charset="0"/>
                              </a:rPr>
                              <m:t>2,51</m:t>
                            </m:r>
                          </m:num>
                          <m:den>
                            <m:sSub>
                              <m:sSubPr>
                                <m:ctrlPr>
                                  <a:rPr lang="de-DE" sz="1200" i="1">
                                    <a:solidFill>
                                      <a:sysClr val="windowText" lastClr="000000"/>
                                    </a:solidFill>
                                    <a:latin typeface="Cambria Math" panose="02040503050406030204" pitchFamily="18" charset="0"/>
                                  </a:rPr>
                                </m:ctrlPr>
                              </m:sSubPr>
                              <m:e>
                                <m:r>
                                  <a:rPr lang="de-DE" sz="1200" i="1">
                                    <a:solidFill>
                                      <a:sysClr val="windowText" lastClr="000000"/>
                                    </a:solidFill>
                                    <a:latin typeface="Cambria Math" panose="02040503050406030204" pitchFamily="18" charset="0"/>
                                  </a:rPr>
                                  <m:t>𝑅</m:t>
                                </m:r>
                              </m:e>
                              <m:sub>
                                <m:r>
                                  <a:rPr lang="de-DE" sz="1200" i="1">
                                    <a:solidFill>
                                      <a:sysClr val="windowText" lastClr="000000"/>
                                    </a:solidFill>
                                    <a:latin typeface="Cambria Math" panose="02040503050406030204" pitchFamily="18" charset="0"/>
                                  </a:rPr>
                                  <m:t>𝑒</m:t>
                                </m:r>
                              </m:sub>
                            </m:sSub>
                            <m:r>
                              <a:rPr lang="de-DE" sz="1200" i="1">
                                <a:solidFill>
                                  <a:sysClr val="windowText" lastClr="000000"/>
                                </a:solidFill>
                                <a:latin typeface="Cambria Math" panose="02040503050406030204" pitchFamily="18" charset="0"/>
                              </a:rPr>
                              <m:t>⋅</m:t>
                            </m:r>
                            <m:rad>
                              <m:radPr>
                                <m:degHide m:val="on"/>
                                <m:ctrlPr>
                                  <a:rPr lang="de-DE" sz="1200" i="1">
                                    <a:solidFill>
                                      <a:sysClr val="windowText" lastClr="000000"/>
                                    </a:solidFill>
                                    <a:latin typeface="Cambria Math" panose="02040503050406030204" pitchFamily="18" charset="0"/>
                                  </a:rPr>
                                </m:ctrlPr>
                              </m:radPr>
                              <m:deg/>
                              <m:e>
                                <m:r>
                                  <a:rPr lang="de-DE" sz="1200" i="1">
                                    <a:solidFill>
                                      <a:sysClr val="windowText" lastClr="000000"/>
                                    </a:solidFill>
                                    <a:latin typeface="Cambria Math" panose="02040503050406030204" pitchFamily="18" charset="0"/>
                                  </a:rPr>
                                  <m:t>𝜆</m:t>
                                </m:r>
                              </m:e>
                            </m:rad>
                          </m:den>
                        </m:f>
                        <m:r>
                          <a:rPr lang="de-DE" sz="1200" i="1">
                            <a:solidFill>
                              <a:sysClr val="windowText" lastClr="000000"/>
                            </a:solidFill>
                            <a:latin typeface="Cambria Math" panose="02040503050406030204" pitchFamily="18" charset="0"/>
                          </a:rPr>
                          <m:t>+</m:t>
                        </m:r>
                        <m:f>
                          <m:fPr>
                            <m:ctrlPr>
                              <a:rPr lang="de-DE" sz="1200" i="1">
                                <a:solidFill>
                                  <a:sysClr val="windowText" lastClr="000000"/>
                                </a:solidFill>
                                <a:latin typeface="Cambria Math" panose="02040503050406030204" pitchFamily="18" charset="0"/>
                              </a:rPr>
                            </m:ctrlPr>
                          </m:fPr>
                          <m:num>
                            <m:r>
                              <a:rPr lang="de-DE" sz="1200" i="1">
                                <a:solidFill>
                                  <a:sysClr val="windowText" lastClr="000000"/>
                                </a:solidFill>
                                <a:latin typeface="Cambria Math" panose="02040503050406030204" pitchFamily="18" charset="0"/>
                              </a:rPr>
                              <m:t>𝑘</m:t>
                            </m:r>
                          </m:num>
                          <m:den>
                            <m:r>
                              <a:rPr lang="de-DE" sz="1200" i="1">
                                <a:solidFill>
                                  <a:sysClr val="windowText" lastClr="000000"/>
                                </a:solidFill>
                                <a:latin typeface="Cambria Math" panose="02040503050406030204" pitchFamily="18" charset="0"/>
                              </a:rPr>
                              <m:t>𝑑</m:t>
                            </m:r>
                          </m:den>
                        </m:f>
                        <m:r>
                          <a:rPr lang="de-DE" sz="1200" i="1">
                            <a:solidFill>
                              <a:sysClr val="windowText" lastClr="000000"/>
                            </a:solidFill>
                            <a:latin typeface="Cambria Math" panose="02040503050406030204" pitchFamily="18" charset="0"/>
                          </a:rPr>
                          <m:t>⋅0,269</m:t>
                        </m:r>
                      </m:e>
                    </m:d>
                  </m:oMath>
                </m:oMathPara>
              </a14:m>
              <a:endParaRPr lang="de-DE" sz="1100">
                <a:solidFill>
                  <a:sysClr val="windowText" lastClr="000000"/>
                </a:solidFill>
              </a:endParaRPr>
            </a:p>
          </xdr:txBody>
        </xdr:sp>
      </mc:Choice>
      <mc:Fallback xmlns="">
        <xdr:sp macro="" textlink="">
          <xdr:nvSpPr>
            <xdr:cNvPr id="8" name="Textfeld 7"/>
            <xdr:cNvSpPr txBox="1"/>
          </xdr:nvSpPr>
          <xdr:spPr>
            <a:xfrm>
              <a:off x="2898321" y="25654907"/>
              <a:ext cx="2135377" cy="42989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de-DE" sz="1200" i="0">
                  <a:solidFill>
                    <a:sysClr val="windowText" lastClr="000000"/>
                  </a:solidFill>
                  <a:latin typeface="Cambria Math" panose="02040503050406030204" pitchFamily="18" charset="0"/>
                </a:rPr>
                <a:t>1/√𝜆=−2𝑙𝑔[2,51/(𝑅_𝑒⋅√𝜆)+𝑘/𝑑⋅0,269]</a:t>
              </a:r>
              <a:endParaRPr lang="de-DE" sz="1100">
                <a:solidFill>
                  <a:sysClr val="windowText" lastClr="000000"/>
                </a:solidFill>
              </a:endParaRPr>
            </a:p>
          </xdr:txBody>
        </xdr:sp>
      </mc:Fallback>
    </mc:AlternateContent>
    <xdr:clientData/>
  </xdr:twoCellAnchor>
  <xdr:twoCellAnchor>
    <xdr:from>
      <xdr:col>6</xdr:col>
      <xdr:colOff>709516</xdr:colOff>
      <xdr:row>68</xdr:row>
      <xdr:rowOff>19439</xdr:rowOff>
    </xdr:from>
    <xdr:to>
      <xdr:col>8</xdr:col>
      <xdr:colOff>417399</xdr:colOff>
      <xdr:row>69</xdr:row>
      <xdr:rowOff>38878</xdr:rowOff>
    </xdr:to>
    <mc:AlternateContent xmlns:mc="http://schemas.openxmlformats.org/markup-compatibility/2006" xmlns:a14="http://schemas.microsoft.com/office/drawing/2010/main">
      <mc:Choice Requires="a14">
        <xdr:sp macro="" textlink="">
          <xdr:nvSpPr>
            <xdr:cNvPr id="11" name="Textfeld 10"/>
            <xdr:cNvSpPr txBox="1"/>
          </xdr:nvSpPr>
          <xdr:spPr>
            <a:xfrm>
              <a:off x="5624416" y="13678289"/>
              <a:ext cx="1441433" cy="276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1">
                            <a:latin typeface="Cambria Math" panose="02040503050406030204" pitchFamily="18" charset="0"/>
                          </a:rPr>
                          <m:t>𝒕𝒐𝒕</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0">
                            <a:latin typeface="Cambria Math" panose="02040503050406030204" pitchFamily="18" charset="0"/>
                          </a:rPr>
                          <m:t>𝐕</m:t>
                        </m:r>
                      </m:sub>
                    </m:sSub>
                    <m:r>
                      <a:rPr lang="de-DE" sz="1200" b="1" i="0">
                        <a:latin typeface="Cambria Math" panose="02040503050406030204" pitchFamily="18" charset="0"/>
                      </a:rPr>
                      <m:t>+</m:t>
                    </m:r>
                    <m:sSub>
                      <m:sSubPr>
                        <m:ctrlPr>
                          <a:rPr lang="de-DE" sz="1200" b="1" i="1">
                            <a:latin typeface="Cambria Math" panose="02040503050406030204" pitchFamily="18" charset="0"/>
                          </a:rPr>
                        </m:ctrlPr>
                      </m:sSubPr>
                      <m:e>
                        <m:r>
                          <a:rPr lang="de-DE" sz="1200" b="1" i="0">
                            <a:latin typeface="Cambria Math" panose="02040503050406030204" pitchFamily="18" charset="0"/>
                          </a:rPr>
                          <m:t>𝐇</m:t>
                        </m:r>
                      </m:e>
                      <m:sub>
                        <m:r>
                          <a:rPr lang="de-DE" sz="1200" b="1" i="1">
                            <a:latin typeface="Cambria Math" panose="02040503050406030204" pitchFamily="18" charset="0"/>
                          </a:rPr>
                          <m:t>𝒈𝒆𝒐</m:t>
                        </m:r>
                      </m:sub>
                    </m:sSub>
                  </m:oMath>
                </m:oMathPara>
              </a14:m>
              <a:endParaRPr lang="de-DE" sz="2000" b="1" i="0"/>
            </a:p>
          </xdr:txBody>
        </xdr:sp>
      </mc:Choice>
      <mc:Fallback xmlns="">
        <xdr:sp macro="" textlink="">
          <xdr:nvSpPr>
            <xdr:cNvPr id="11" name="Textfeld 10"/>
            <xdr:cNvSpPr txBox="1"/>
          </xdr:nvSpPr>
          <xdr:spPr>
            <a:xfrm>
              <a:off x="5624416" y="13678289"/>
              <a:ext cx="1441433" cy="276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de-DE" sz="1200" b="1" i="0">
                  <a:latin typeface="Cambria Math" panose="02040503050406030204" pitchFamily="18" charset="0"/>
                </a:rPr>
                <a:t>𝐇_𝒕𝒐𝒕=𝐇_𝐕+𝐇_𝒈𝒆𝒐</a:t>
              </a:r>
              <a:endParaRPr lang="de-DE" sz="2000" b="1" i="0"/>
            </a:p>
          </xdr:txBody>
        </xdr:sp>
      </mc:Fallback>
    </mc:AlternateContent>
    <xdr:clientData/>
  </xdr:twoCellAnchor>
  <xdr:twoCellAnchor editAs="oneCell">
    <xdr:from>
      <xdr:col>4</xdr:col>
      <xdr:colOff>361949</xdr:colOff>
      <xdr:row>55</xdr:row>
      <xdr:rowOff>66675</xdr:rowOff>
    </xdr:from>
    <xdr:to>
      <xdr:col>7</xdr:col>
      <xdr:colOff>314476</xdr:colOff>
      <xdr:row>66</xdr:row>
      <xdr:rowOff>244690</xdr:rowOff>
    </xdr:to>
    <xdr:pic>
      <xdr:nvPicPr>
        <xdr:cNvPr id="13" name="Grafik 1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580" t="28202"/>
        <a:stretch/>
      </xdr:blipFill>
      <xdr:spPr>
        <a:xfrm>
          <a:off x="3409949" y="10382250"/>
          <a:ext cx="2581427" cy="3006940"/>
        </a:xfrm>
        <a:prstGeom prst="rect">
          <a:avLst/>
        </a:prstGeom>
      </xdr:spPr>
    </xdr:pic>
    <xdr:clientData/>
  </xdr:twoCellAnchor>
  <xdr:twoCellAnchor editAs="oneCell">
    <xdr:from>
      <xdr:col>7</xdr:col>
      <xdr:colOff>161925</xdr:colOff>
      <xdr:row>53</xdr:row>
      <xdr:rowOff>47625</xdr:rowOff>
    </xdr:from>
    <xdr:to>
      <xdr:col>8</xdr:col>
      <xdr:colOff>806533</xdr:colOff>
      <xdr:row>60</xdr:row>
      <xdr:rowOff>235052</xdr:rowOff>
    </xdr:to>
    <xdr:pic>
      <xdr:nvPicPr>
        <xdr:cNvPr id="14" name="Grafik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838825" y="9848850"/>
          <a:ext cx="1616158" cy="1987652"/>
        </a:xfrm>
        <a:prstGeom prst="rect">
          <a:avLst/>
        </a:prstGeom>
      </xdr:spPr>
    </xdr:pic>
    <xdr:clientData/>
  </xdr:twoCellAnchor>
  <xdr:twoCellAnchor>
    <xdr:from>
      <xdr:col>6</xdr:col>
      <xdr:colOff>295275</xdr:colOff>
      <xdr:row>65</xdr:row>
      <xdr:rowOff>142875</xdr:rowOff>
    </xdr:from>
    <xdr:to>
      <xdr:col>9</xdr:col>
      <xdr:colOff>9525</xdr:colOff>
      <xdr:row>65</xdr:row>
      <xdr:rowOff>142875</xdr:rowOff>
    </xdr:to>
    <xdr:cxnSp macro="">
      <xdr:nvCxnSpPr>
        <xdr:cNvPr id="18" name="Gerader Verbinder 17"/>
        <xdr:cNvCxnSpPr/>
      </xdr:nvCxnSpPr>
      <xdr:spPr>
        <a:xfrm>
          <a:off x="5210175" y="13030200"/>
          <a:ext cx="239077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171450</xdr:colOff>
      <xdr:row>53</xdr:row>
      <xdr:rowOff>171450</xdr:rowOff>
    </xdr:from>
    <xdr:to>
      <xdr:col>9</xdr:col>
      <xdr:colOff>0</xdr:colOff>
      <xdr:row>53</xdr:row>
      <xdr:rowOff>171450</xdr:rowOff>
    </xdr:to>
    <xdr:cxnSp macro="">
      <xdr:nvCxnSpPr>
        <xdr:cNvPr id="19" name="Gerader Verbinder 18"/>
        <xdr:cNvCxnSpPr/>
      </xdr:nvCxnSpPr>
      <xdr:spPr>
        <a:xfrm>
          <a:off x="5848350" y="9972675"/>
          <a:ext cx="1743075" cy="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838200</xdr:colOff>
      <xdr:row>53</xdr:row>
      <xdr:rowOff>171450</xdr:rowOff>
    </xdr:from>
    <xdr:to>
      <xdr:col>8</xdr:col>
      <xdr:colOff>838200</xdr:colOff>
      <xdr:row>65</xdr:row>
      <xdr:rowOff>133350</xdr:rowOff>
    </xdr:to>
    <xdr:cxnSp macro="">
      <xdr:nvCxnSpPr>
        <xdr:cNvPr id="22" name="Gerade Verbindung mit Pfeil 21"/>
        <xdr:cNvCxnSpPr/>
      </xdr:nvCxnSpPr>
      <xdr:spPr>
        <a:xfrm>
          <a:off x="7486650" y="9972675"/>
          <a:ext cx="0" cy="3048000"/>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398318</xdr:colOff>
      <xdr:row>134</xdr:row>
      <xdr:rowOff>129969</xdr:rowOff>
    </xdr:from>
    <xdr:to>
      <xdr:col>6</xdr:col>
      <xdr:colOff>492395</xdr:colOff>
      <xdr:row>134</xdr:row>
      <xdr:rowOff>129969</xdr:rowOff>
    </xdr:to>
    <xdr:cxnSp macro="">
      <xdr:nvCxnSpPr>
        <xdr:cNvPr id="10" name="Gerader Verbinder 9"/>
        <xdr:cNvCxnSpPr/>
      </xdr:nvCxnSpPr>
      <xdr:spPr>
        <a:xfrm flipH="1">
          <a:off x="3446318" y="29510264"/>
          <a:ext cx="1955782"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138</xdr:row>
      <xdr:rowOff>206375</xdr:rowOff>
    </xdr:from>
    <xdr:to>
      <xdr:col>6</xdr:col>
      <xdr:colOff>523877</xdr:colOff>
      <xdr:row>138</xdr:row>
      <xdr:rowOff>206375</xdr:rowOff>
    </xdr:to>
    <xdr:cxnSp macro="">
      <xdr:nvCxnSpPr>
        <xdr:cNvPr id="17" name="Gerader Verbinder 16"/>
        <xdr:cNvCxnSpPr/>
      </xdr:nvCxnSpPr>
      <xdr:spPr>
        <a:xfrm flipH="1">
          <a:off x="3441700" y="30692725"/>
          <a:ext cx="1997077"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182805</xdr:colOff>
      <xdr:row>141</xdr:row>
      <xdr:rowOff>29307</xdr:rowOff>
    </xdr:from>
    <xdr:to>
      <xdr:col>8</xdr:col>
      <xdr:colOff>182805</xdr:colOff>
      <xdr:row>143</xdr:row>
      <xdr:rowOff>80596</xdr:rowOff>
    </xdr:to>
    <xdr:cxnSp macro="">
      <xdr:nvCxnSpPr>
        <xdr:cNvPr id="24" name="Gerade Verbindung mit Pfeil 23"/>
        <xdr:cNvCxnSpPr/>
      </xdr:nvCxnSpPr>
      <xdr:spPr>
        <a:xfrm>
          <a:off x="6835651" y="30831692"/>
          <a:ext cx="0" cy="564173"/>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46433</xdr:colOff>
      <xdr:row>134</xdr:row>
      <xdr:rowOff>187814</xdr:rowOff>
    </xdr:from>
    <xdr:ext cx="300568" cy="1157653"/>
    <xdr:sp macro="" textlink="">
      <xdr:nvSpPr>
        <xdr:cNvPr id="25" name="Textfeld 24"/>
        <xdr:cNvSpPr txBox="1"/>
      </xdr:nvSpPr>
      <xdr:spPr>
        <a:xfrm>
          <a:off x="3094433" y="29632764"/>
          <a:ext cx="300568" cy="11576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baseline="-25000">
              <a:solidFill>
                <a:srgbClr val="FF0000"/>
              </a:solidFill>
              <a:effectLst/>
              <a:latin typeface="+mn-lt"/>
              <a:ea typeface="+mn-ea"/>
              <a:cs typeface="+mn-cs"/>
            </a:rPr>
            <a:t>hFittings&amp;bends</a:t>
          </a:r>
          <a:r>
            <a:rPr lang="de-DE" sz="1100" b="1" i="0">
              <a:solidFill>
                <a:srgbClr val="FF0000"/>
              </a:solidFill>
              <a:effectLst/>
              <a:latin typeface="+mn-lt"/>
              <a:ea typeface="+mn-ea"/>
              <a:cs typeface="+mn-cs"/>
            </a:rPr>
            <a:t> [m]</a:t>
          </a:r>
          <a:r>
            <a:rPr lang="de-DE" sz="1100">
              <a:solidFill>
                <a:srgbClr val="FF0000"/>
              </a:solidFill>
              <a:effectLst/>
              <a:latin typeface="+mn-lt"/>
              <a:ea typeface="+mn-ea"/>
              <a:cs typeface="+mn-cs"/>
            </a:rPr>
            <a:t> </a:t>
          </a:r>
          <a:endParaRPr lang="de-DE">
            <a:solidFill>
              <a:srgbClr val="FF0000"/>
            </a:solidFill>
            <a:effectLst/>
          </a:endParaRPr>
        </a:p>
      </xdr:txBody>
    </xdr:sp>
    <xdr:clientData/>
  </xdr:oneCellAnchor>
  <xdr:twoCellAnchor>
    <xdr:from>
      <xdr:col>4</xdr:col>
      <xdr:colOff>388327</xdr:colOff>
      <xdr:row>140</xdr:row>
      <xdr:rowOff>30225</xdr:rowOff>
    </xdr:from>
    <xdr:to>
      <xdr:col>8</xdr:col>
      <xdr:colOff>337650</xdr:colOff>
      <xdr:row>140</xdr:row>
      <xdr:rowOff>30225</xdr:rowOff>
    </xdr:to>
    <xdr:cxnSp macro="">
      <xdr:nvCxnSpPr>
        <xdr:cNvPr id="26" name="Gerader Verbinder 25"/>
        <xdr:cNvCxnSpPr/>
      </xdr:nvCxnSpPr>
      <xdr:spPr>
        <a:xfrm>
          <a:off x="3436327" y="30576167"/>
          <a:ext cx="3554169"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695906</xdr:colOff>
      <xdr:row>127</xdr:row>
      <xdr:rowOff>36635</xdr:rowOff>
    </xdr:from>
    <xdr:to>
      <xdr:col>6</xdr:col>
      <xdr:colOff>695906</xdr:colOff>
      <xdr:row>134</xdr:row>
      <xdr:rowOff>153866</xdr:rowOff>
    </xdr:to>
    <xdr:cxnSp macro="">
      <xdr:nvCxnSpPr>
        <xdr:cNvPr id="27" name="Gerade Verbindung mit Pfeil 26"/>
        <xdr:cNvCxnSpPr/>
      </xdr:nvCxnSpPr>
      <xdr:spPr>
        <a:xfrm>
          <a:off x="5612271" y="27248827"/>
          <a:ext cx="0" cy="1912327"/>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739867</xdr:colOff>
      <xdr:row>129</xdr:row>
      <xdr:rowOff>133913</xdr:rowOff>
    </xdr:from>
    <xdr:ext cx="289576" cy="893884"/>
    <xdr:sp macro="" textlink="">
      <xdr:nvSpPr>
        <xdr:cNvPr id="30" name="Textfeld 29"/>
        <xdr:cNvSpPr txBox="1"/>
      </xdr:nvSpPr>
      <xdr:spPr>
        <a:xfrm>
          <a:off x="5664112" y="28304550"/>
          <a:ext cx="289576" cy="893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u="none" strike="noStrike" baseline="0">
              <a:solidFill>
                <a:srgbClr val="FF0000"/>
              </a:solidFill>
              <a:effectLst/>
              <a:latin typeface="+mn-lt"/>
              <a:ea typeface="+mn-ea"/>
              <a:cs typeface="+mn-cs"/>
            </a:rPr>
            <a:t>h</a:t>
          </a:r>
          <a:r>
            <a:rPr lang="de-DE" sz="1100" b="1" i="0" u="none" strike="noStrike" baseline="-25000">
              <a:solidFill>
                <a:srgbClr val="FF0000"/>
              </a:solidFill>
              <a:effectLst/>
              <a:latin typeface="+mn-lt"/>
              <a:ea typeface="+mn-ea"/>
              <a:cs typeface="+mn-cs"/>
            </a:rPr>
            <a:t>Frostschutz</a:t>
          </a:r>
          <a:r>
            <a:rPr lang="de-DE" sz="1100" b="1" i="0" u="none" strike="noStrike">
              <a:solidFill>
                <a:srgbClr val="FF0000"/>
              </a:solidFill>
              <a:effectLst/>
              <a:latin typeface="+mn-lt"/>
              <a:ea typeface="+mn-ea"/>
              <a:cs typeface="+mn-cs"/>
            </a:rPr>
            <a:t> [m]</a:t>
          </a:r>
          <a:r>
            <a:rPr lang="de-DE"/>
            <a:t> </a:t>
          </a:r>
          <a:endParaRPr lang="de-DE" sz="1100"/>
        </a:p>
      </xdr:txBody>
    </xdr:sp>
    <xdr:clientData/>
  </xdr:oneCellAnchor>
  <xdr:twoCellAnchor>
    <xdr:from>
      <xdr:col>4</xdr:col>
      <xdr:colOff>373674</xdr:colOff>
      <xdr:row>141</xdr:row>
      <xdr:rowOff>29307</xdr:rowOff>
    </xdr:from>
    <xdr:to>
      <xdr:col>8</xdr:col>
      <xdr:colOff>337038</xdr:colOff>
      <xdr:row>141</xdr:row>
      <xdr:rowOff>29308</xdr:rowOff>
    </xdr:to>
    <xdr:cxnSp macro="">
      <xdr:nvCxnSpPr>
        <xdr:cNvPr id="44" name="Gerader Verbinder 43"/>
        <xdr:cNvCxnSpPr/>
      </xdr:nvCxnSpPr>
      <xdr:spPr>
        <a:xfrm>
          <a:off x="3421674" y="30831692"/>
          <a:ext cx="3568210" cy="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193808</xdr:colOff>
      <xdr:row>127</xdr:row>
      <xdr:rowOff>9922</xdr:rowOff>
    </xdr:from>
    <xdr:to>
      <xdr:col>8</xdr:col>
      <xdr:colOff>193808</xdr:colOff>
      <xdr:row>140</xdr:row>
      <xdr:rowOff>14552</xdr:rowOff>
    </xdr:to>
    <xdr:cxnSp macro="">
      <xdr:nvCxnSpPr>
        <xdr:cNvPr id="49" name="Gerade Verbindung mit Pfeil 48"/>
        <xdr:cNvCxnSpPr/>
      </xdr:nvCxnSpPr>
      <xdr:spPr>
        <a:xfrm>
          <a:off x="6851386" y="27384375"/>
          <a:ext cx="0" cy="3358224"/>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252016</xdr:colOff>
      <xdr:row>130</xdr:row>
      <xdr:rowOff>177425</xdr:rowOff>
    </xdr:from>
    <xdr:ext cx="327127" cy="893884"/>
    <xdr:sp macro="" textlink="">
      <xdr:nvSpPr>
        <xdr:cNvPr id="51" name="Textfeld 50"/>
        <xdr:cNvSpPr txBox="1"/>
      </xdr:nvSpPr>
      <xdr:spPr>
        <a:xfrm>
          <a:off x="6897104" y="28298587"/>
          <a:ext cx="327127" cy="8938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u="none" strike="noStrike" baseline="0">
              <a:solidFill>
                <a:srgbClr val="FF0000"/>
              </a:solidFill>
              <a:effectLst/>
              <a:latin typeface="+mn-lt"/>
              <a:ea typeface="+mn-ea"/>
              <a:cs typeface="+mn-cs"/>
            </a:rPr>
            <a:t>h</a:t>
          </a:r>
          <a:r>
            <a:rPr lang="de-DE" sz="1100" b="1" i="0" u="none" strike="noStrike" baseline="-25000">
              <a:solidFill>
                <a:srgbClr val="FF0000"/>
              </a:solidFill>
              <a:effectLst/>
              <a:latin typeface="+mn-lt"/>
              <a:ea typeface="+mn-ea"/>
              <a:cs typeface="+mn-cs"/>
            </a:rPr>
            <a:t>In flow</a:t>
          </a:r>
          <a:r>
            <a:rPr lang="de-DE" sz="1100" b="1" i="0" u="none" strike="noStrike">
              <a:solidFill>
                <a:srgbClr val="FF0000"/>
              </a:solidFill>
              <a:effectLst/>
              <a:latin typeface="+mn-lt"/>
              <a:ea typeface="+mn-ea"/>
              <a:cs typeface="+mn-cs"/>
            </a:rPr>
            <a:t> [m]</a:t>
          </a:r>
          <a:r>
            <a:rPr lang="de-DE">
              <a:solidFill>
                <a:srgbClr val="FF0000"/>
              </a:solidFill>
            </a:rPr>
            <a:t> </a:t>
          </a:r>
          <a:endParaRPr lang="de-DE" sz="1100">
            <a:solidFill>
              <a:srgbClr val="FF0000"/>
            </a:solidFill>
          </a:endParaRPr>
        </a:p>
      </xdr:txBody>
    </xdr:sp>
    <xdr:clientData/>
  </xdr:oneCellAnchor>
  <xdr:twoCellAnchor>
    <xdr:from>
      <xdr:col>4</xdr:col>
      <xdr:colOff>686746</xdr:colOff>
      <xdr:row>95</xdr:row>
      <xdr:rowOff>48845</xdr:rowOff>
    </xdr:from>
    <xdr:to>
      <xdr:col>9</xdr:col>
      <xdr:colOff>399013</xdr:colOff>
      <xdr:row>95</xdr:row>
      <xdr:rowOff>48845</xdr:rowOff>
    </xdr:to>
    <xdr:cxnSp macro="">
      <xdr:nvCxnSpPr>
        <xdr:cNvPr id="54" name="Gerader Verbinder 53"/>
        <xdr:cNvCxnSpPr/>
      </xdr:nvCxnSpPr>
      <xdr:spPr>
        <a:xfrm>
          <a:off x="3734746" y="20080653"/>
          <a:ext cx="4262286"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674686</xdr:colOff>
      <xdr:row>98</xdr:row>
      <xdr:rowOff>248046</xdr:rowOff>
    </xdr:from>
    <xdr:to>
      <xdr:col>9</xdr:col>
      <xdr:colOff>386953</xdr:colOff>
      <xdr:row>98</xdr:row>
      <xdr:rowOff>248046</xdr:rowOff>
    </xdr:to>
    <xdr:cxnSp macro="">
      <xdr:nvCxnSpPr>
        <xdr:cNvPr id="56" name="Gerader Verbinder 55"/>
        <xdr:cNvCxnSpPr/>
      </xdr:nvCxnSpPr>
      <xdr:spPr>
        <a:xfrm>
          <a:off x="3730624" y="20399374"/>
          <a:ext cx="425648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267890</xdr:colOff>
      <xdr:row>95</xdr:row>
      <xdr:rowOff>51288</xdr:rowOff>
    </xdr:from>
    <xdr:to>
      <xdr:col>9</xdr:col>
      <xdr:colOff>267890</xdr:colOff>
      <xdr:row>98</xdr:row>
      <xdr:rowOff>248047</xdr:rowOff>
    </xdr:to>
    <xdr:cxnSp macro="">
      <xdr:nvCxnSpPr>
        <xdr:cNvPr id="57" name="Gerade Verbindung mit Pfeil 56"/>
        <xdr:cNvCxnSpPr/>
      </xdr:nvCxnSpPr>
      <xdr:spPr>
        <a:xfrm>
          <a:off x="7865909" y="20083096"/>
          <a:ext cx="0" cy="966086"/>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413187</xdr:colOff>
      <xdr:row>83</xdr:row>
      <xdr:rowOff>158750</xdr:rowOff>
    </xdr:from>
    <xdr:to>
      <xdr:col>4</xdr:col>
      <xdr:colOff>434730</xdr:colOff>
      <xdr:row>94</xdr:row>
      <xdr:rowOff>89297</xdr:rowOff>
    </xdr:to>
    <xdr:cxnSp macro="">
      <xdr:nvCxnSpPr>
        <xdr:cNvPr id="61" name="Gerader Verbinder 60"/>
        <xdr:cNvCxnSpPr/>
      </xdr:nvCxnSpPr>
      <xdr:spPr>
        <a:xfrm>
          <a:off x="3461187" y="17113250"/>
          <a:ext cx="21543" cy="275141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536849</xdr:colOff>
      <xdr:row>83</xdr:row>
      <xdr:rowOff>67774</xdr:rowOff>
    </xdr:from>
    <xdr:to>
      <xdr:col>5</xdr:col>
      <xdr:colOff>546771</xdr:colOff>
      <xdr:row>94</xdr:row>
      <xdr:rowOff>67775</xdr:rowOff>
    </xdr:to>
    <xdr:cxnSp macro="">
      <xdr:nvCxnSpPr>
        <xdr:cNvPr id="66" name="Gerader Verbinder 65"/>
        <xdr:cNvCxnSpPr/>
      </xdr:nvCxnSpPr>
      <xdr:spPr>
        <a:xfrm>
          <a:off x="4559330" y="17022274"/>
          <a:ext cx="9922" cy="282086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410156</xdr:colOff>
      <xdr:row>84</xdr:row>
      <xdr:rowOff>10533</xdr:rowOff>
    </xdr:from>
    <xdr:to>
      <xdr:col>5</xdr:col>
      <xdr:colOff>549519</xdr:colOff>
      <xdr:row>84</xdr:row>
      <xdr:rowOff>10533</xdr:rowOff>
    </xdr:to>
    <xdr:cxnSp macro="">
      <xdr:nvCxnSpPr>
        <xdr:cNvPr id="72" name="Gerade Verbindung mit Pfeil 71"/>
        <xdr:cNvCxnSpPr/>
      </xdr:nvCxnSpPr>
      <xdr:spPr>
        <a:xfrm flipH="1">
          <a:off x="3458156" y="17221475"/>
          <a:ext cx="1113844" cy="0"/>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469615</xdr:colOff>
      <xdr:row>95</xdr:row>
      <xdr:rowOff>145848</xdr:rowOff>
    </xdr:from>
    <xdr:ext cx="342910" cy="327127"/>
    <xdr:sp macro="" textlink="">
      <xdr:nvSpPr>
        <xdr:cNvPr id="40" name="Textfeld 39"/>
        <xdr:cNvSpPr txBox="1"/>
      </xdr:nvSpPr>
      <xdr:spPr>
        <a:xfrm rot="5400000">
          <a:off x="4499987" y="20169765"/>
          <a:ext cx="327127" cy="3429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u="none" strike="noStrike">
              <a:solidFill>
                <a:srgbClr val="FF0000"/>
              </a:solidFill>
              <a:effectLst/>
              <a:latin typeface="+mn-lt"/>
              <a:ea typeface="+mn-ea"/>
              <a:cs typeface="+mn-cs"/>
            </a:rPr>
            <a:t>DN</a:t>
          </a:r>
          <a:r>
            <a:rPr lang="de-DE" sz="1100" b="1" i="0" u="none" strike="noStrike" baseline="0">
              <a:solidFill>
                <a:srgbClr val="FF0000"/>
              </a:solidFill>
              <a:effectLst/>
              <a:latin typeface="+mn-lt"/>
              <a:ea typeface="+mn-ea"/>
              <a:cs typeface="+mn-cs"/>
            </a:rPr>
            <a:t>2</a:t>
          </a:r>
          <a:r>
            <a:rPr lang="de-DE"/>
            <a:t> </a:t>
          </a:r>
          <a:endParaRPr lang="de-DE" sz="1100"/>
        </a:p>
      </xdr:txBody>
    </xdr:sp>
    <xdr:clientData/>
  </xdr:oneCellAnchor>
  <xdr:oneCellAnchor>
    <xdr:from>
      <xdr:col>7</xdr:col>
      <xdr:colOff>459304</xdr:colOff>
      <xdr:row>96</xdr:row>
      <xdr:rowOff>86244</xdr:rowOff>
    </xdr:from>
    <xdr:ext cx="2917033" cy="327127"/>
    <xdr:sp macro="" textlink="">
      <xdr:nvSpPr>
        <xdr:cNvPr id="42" name="Textfeld 41"/>
        <xdr:cNvSpPr txBox="1"/>
      </xdr:nvSpPr>
      <xdr:spPr>
        <a:xfrm rot="5400000">
          <a:off x="7432622" y="19079541"/>
          <a:ext cx="327127" cy="291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a:solidFill>
                <a:srgbClr val="FF0000"/>
              </a:solidFill>
              <a:effectLst/>
              <a:latin typeface="+mn-lt"/>
              <a:ea typeface="+mn-ea"/>
              <a:cs typeface="+mn-cs"/>
            </a:rPr>
            <a:t>Lowest</a:t>
          </a:r>
          <a:r>
            <a:rPr lang="de-DE" sz="1100">
              <a:solidFill>
                <a:srgbClr val="FF0000"/>
              </a:solidFill>
              <a:effectLst/>
              <a:latin typeface="+mn-lt"/>
              <a:ea typeface="+mn-ea"/>
              <a:cs typeface="+mn-cs"/>
            </a:rPr>
            <a:t> </a:t>
          </a:r>
          <a:r>
            <a:rPr lang="de-DE" sz="1100" b="1">
              <a:solidFill>
                <a:srgbClr val="FF0000"/>
              </a:solidFill>
              <a:effectLst/>
              <a:latin typeface="+mn-lt"/>
              <a:ea typeface="+mn-ea"/>
              <a:cs typeface="+mn-cs"/>
            </a:rPr>
            <a:t>switch-off point in automatic mode</a:t>
          </a:r>
          <a:endParaRPr lang="de-DE">
            <a:solidFill>
              <a:srgbClr val="FF0000"/>
            </a:solidFill>
            <a:effectLst/>
          </a:endParaRPr>
        </a:p>
      </xdr:txBody>
    </xdr:sp>
    <xdr:clientData/>
  </xdr:oneCellAnchor>
  <xdr:oneCellAnchor>
    <xdr:from>
      <xdr:col>4</xdr:col>
      <xdr:colOff>481440</xdr:colOff>
      <xdr:row>82</xdr:row>
      <xdr:rowOff>116471</xdr:rowOff>
    </xdr:from>
    <xdr:ext cx="972344" cy="327127"/>
    <xdr:sp macro="" textlink="">
      <xdr:nvSpPr>
        <xdr:cNvPr id="43" name="Textfeld 42"/>
        <xdr:cNvSpPr txBox="1"/>
      </xdr:nvSpPr>
      <xdr:spPr>
        <a:xfrm rot="5400000">
          <a:off x="3852048" y="16491921"/>
          <a:ext cx="327127" cy="972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a:solidFill>
                <a:srgbClr val="FF0000"/>
              </a:solidFill>
              <a:effectLst/>
              <a:latin typeface="+mn-lt"/>
              <a:ea typeface="+mn-ea"/>
              <a:cs typeface="+mn-cs"/>
            </a:rPr>
            <a:t>Pump width</a:t>
          </a:r>
          <a:endParaRPr lang="de-DE">
            <a:solidFill>
              <a:srgbClr val="FF0000"/>
            </a:solidFill>
            <a:effectLst/>
          </a:endParaRPr>
        </a:p>
      </xdr:txBody>
    </xdr:sp>
    <xdr:clientData/>
  </xdr:oneCellAnchor>
  <xdr:twoCellAnchor>
    <xdr:from>
      <xdr:col>4</xdr:col>
      <xdr:colOff>456711</xdr:colOff>
      <xdr:row>140</xdr:row>
      <xdr:rowOff>31751</xdr:rowOff>
    </xdr:from>
    <xdr:to>
      <xdr:col>4</xdr:col>
      <xdr:colOff>456713</xdr:colOff>
      <xdr:row>141</xdr:row>
      <xdr:rowOff>23812</xdr:rowOff>
    </xdr:to>
    <xdr:cxnSp macro="">
      <xdr:nvCxnSpPr>
        <xdr:cNvPr id="67" name="Gerade Verbindung mit Pfeil 66"/>
        <xdr:cNvCxnSpPr/>
      </xdr:nvCxnSpPr>
      <xdr:spPr>
        <a:xfrm>
          <a:off x="3504711" y="30577693"/>
          <a:ext cx="2" cy="248504"/>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408283</xdr:colOff>
      <xdr:row>140</xdr:row>
      <xdr:rowOff>71739</xdr:rowOff>
    </xdr:from>
    <xdr:ext cx="238122" cy="972911"/>
    <xdr:sp macro="" textlink="">
      <xdr:nvSpPr>
        <xdr:cNvPr id="78" name="Textfeld 77"/>
        <xdr:cNvSpPr txBox="1"/>
      </xdr:nvSpPr>
      <xdr:spPr>
        <a:xfrm>
          <a:off x="7061129" y="30617681"/>
          <a:ext cx="238122" cy="9729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ctr">
          <a:noAutofit/>
        </a:bodyPr>
        <a:lstStyle/>
        <a:p>
          <a:pPr algn="ctr"/>
          <a:r>
            <a:rPr lang="de-DE" sz="1100" b="1" i="0" u="none" strike="noStrike" baseline="0">
              <a:solidFill>
                <a:srgbClr val="FF0000"/>
              </a:solidFill>
              <a:effectLst/>
              <a:latin typeface="+mn-lt"/>
              <a:ea typeface="+mn-ea"/>
              <a:cs typeface="+mn-cs"/>
            </a:rPr>
            <a:t>h</a:t>
          </a:r>
          <a:r>
            <a:rPr lang="de-DE" sz="1100" b="1" i="0" u="none" strike="noStrike" baseline="-25000">
              <a:solidFill>
                <a:srgbClr val="FF0000"/>
              </a:solidFill>
              <a:effectLst/>
              <a:latin typeface="+mn-lt"/>
              <a:ea typeface="+mn-ea"/>
              <a:cs typeface="+mn-cs"/>
            </a:rPr>
            <a:t>Nuzvolumen </a:t>
          </a:r>
          <a:r>
            <a:rPr lang="de-DE" sz="1100" b="1" i="0" u="none" strike="noStrike">
              <a:solidFill>
                <a:srgbClr val="FF0000"/>
              </a:solidFill>
              <a:effectLst/>
              <a:latin typeface="+mn-lt"/>
              <a:ea typeface="+mn-ea"/>
              <a:cs typeface="+mn-cs"/>
            </a:rPr>
            <a:t>[m]</a:t>
          </a:r>
          <a:r>
            <a:rPr lang="de-DE">
              <a:solidFill>
                <a:srgbClr val="FF0000"/>
              </a:solidFill>
            </a:rPr>
            <a:t> </a:t>
          </a:r>
          <a:endParaRPr lang="de-DE" sz="1100">
            <a:solidFill>
              <a:srgbClr val="FF0000"/>
            </a:solidFill>
          </a:endParaRPr>
        </a:p>
      </xdr:txBody>
    </xdr:sp>
    <xdr:clientData/>
  </xdr:oneCellAnchor>
  <xdr:twoCellAnchor>
    <xdr:from>
      <xdr:col>4</xdr:col>
      <xdr:colOff>446767</xdr:colOff>
      <xdr:row>134</xdr:row>
      <xdr:rowOff>136072</xdr:rowOff>
    </xdr:from>
    <xdr:to>
      <xdr:col>4</xdr:col>
      <xdr:colOff>446767</xdr:colOff>
      <xdr:row>138</xdr:row>
      <xdr:rowOff>212258</xdr:rowOff>
    </xdr:to>
    <xdr:cxnSp macro="">
      <xdr:nvCxnSpPr>
        <xdr:cNvPr id="79" name="Gerade Verbindung mit Pfeil 78"/>
        <xdr:cNvCxnSpPr/>
      </xdr:nvCxnSpPr>
      <xdr:spPr>
        <a:xfrm>
          <a:off x="3514559" y="29515130"/>
          <a:ext cx="0" cy="1115277"/>
        </a:xfrm>
        <a:prstGeom prst="straightConnector1">
          <a:avLst/>
        </a:prstGeom>
        <a:ln w="1905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37000</xdr:colOff>
      <xdr:row>139</xdr:row>
      <xdr:rowOff>125035</xdr:rowOff>
    </xdr:from>
    <xdr:ext cx="318286" cy="1060398"/>
    <xdr:sp macro="" textlink="">
      <xdr:nvSpPr>
        <xdr:cNvPr id="80" name="Textfeld 79"/>
        <xdr:cNvSpPr txBox="1"/>
      </xdr:nvSpPr>
      <xdr:spPr>
        <a:xfrm>
          <a:off x="3085000" y="30871735"/>
          <a:ext cx="318286" cy="1060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noAutofit/>
        </a:bodyPr>
        <a:lstStyle/>
        <a:p>
          <a:r>
            <a:rPr lang="de-DE" sz="1100" b="1" i="0" u="none" strike="noStrike" baseline="0">
              <a:solidFill>
                <a:srgbClr val="FF0000"/>
              </a:solidFill>
              <a:effectLst/>
              <a:latin typeface="+mn-lt"/>
              <a:ea typeface="+mn-ea"/>
              <a:cs typeface="+mn-cs"/>
            </a:rPr>
            <a:t>h</a:t>
          </a:r>
          <a:r>
            <a:rPr lang="de-DE" sz="1100" b="1" i="0" u="none" strike="noStrike" baseline="-25000">
              <a:solidFill>
                <a:srgbClr val="FF0000"/>
              </a:solidFill>
              <a:effectLst/>
              <a:latin typeface="+mn-lt"/>
              <a:ea typeface="+mn-ea"/>
              <a:cs typeface="+mn-cs"/>
            </a:rPr>
            <a:t>Reservevolume </a:t>
          </a:r>
          <a:r>
            <a:rPr lang="de-DE" sz="1100" b="1" i="0" u="none" strike="noStrike">
              <a:solidFill>
                <a:srgbClr val="FF0000"/>
              </a:solidFill>
              <a:effectLst/>
              <a:latin typeface="+mn-lt"/>
              <a:ea typeface="+mn-ea"/>
              <a:cs typeface="+mn-cs"/>
            </a:rPr>
            <a:t>[m]</a:t>
          </a:r>
          <a:r>
            <a:rPr lang="de-DE">
              <a:solidFill>
                <a:srgbClr val="FF0000"/>
              </a:solidFill>
            </a:rPr>
            <a:t> </a:t>
          </a:r>
          <a:endParaRPr lang="de-DE" sz="1100">
            <a:solidFill>
              <a:srgbClr val="FF0000"/>
            </a:solidFill>
          </a:endParaRPr>
        </a:p>
      </xdr:txBody>
    </xdr:sp>
    <xdr:clientData/>
  </xdr:oneCellAnchor>
  <xdr:twoCellAnchor editAs="oneCell">
    <xdr:from>
      <xdr:col>10</xdr:col>
      <xdr:colOff>621927</xdr:colOff>
      <xdr:row>93</xdr:row>
      <xdr:rowOff>5487</xdr:rowOff>
    </xdr:from>
    <xdr:to>
      <xdr:col>12</xdr:col>
      <xdr:colOff>191</xdr:colOff>
      <xdr:row>99</xdr:row>
      <xdr:rowOff>31474</xdr:rowOff>
    </xdr:to>
    <xdr:pic>
      <xdr:nvPicPr>
        <xdr:cNvPr id="12" name="Grafik 11"/>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9076765" y="19621384"/>
          <a:ext cx="1819745" cy="1572399"/>
        </a:xfrm>
        <a:prstGeom prst="rect">
          <a:avLst/>
        </a:prstGeom>
      </xdr:spPr>
    </xdr:pic>
    <xdr:clientData/>
  </xdr:twoCellAnchor>
  <xdr:twoCellAnchor>
    <xdr:from>
      <xdr:col>11</xdr:col>
      <xdr:colOff>397809</xdr:colOff>
      <xdr:row>96</xdr:row>
      <xdr:rowOff>28015</xdr:rowOff>
    </xdr:from>
    <xdr:to>
      <xdr:col>11</xdr:col>
      <xdr:colOff>588309</xdr:colOff>
      <xdr:row>96</xdr:row>
      <xdr:rowOff>207308</xdr:rowOff>
    </xdr:to>
    <xdr:sp macro="" textlink="">
      <xdr:nvSpPr>
        <xdr:cNvPr id="20" name="Ellipse 19"/>
        <xdr:cNvSpPr/>
      </xdr:nvSpPr>
      <xdr:spPr>
        <a:xfrm>
          <a:off x="10174941" y="20417118"/>
          <a:ext cx="190500" cy="1792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11</xdr:col>
      <xdr:colOff>134471</xdr:colOff>
      <xdr:row>95</xdr:row>
      <xdr:rowOff>61632</xdr:rowOff>
    </xdr:from>
    <xdr:to>
      <xdr:col>11</xdr:col>
      <xdr:colOff>504265</xdr:colOff>
      <xdr:row>96</xdr:row>
      <xdr:rowOff>5603</xdr:rowOff>
    </xdr:to>
    <xdr:sp macro="" textlink="">
      <xdr:nvSpPr>
        <xdr:cNvPr id="21" name="Textfeld 20"/>
        <xdr:cNvSpPr txBox="1"/>
      </xdr:nvSpPr>
      <xdr:spPr>
        <a:xfrm>
          <a:off x="9911603" y="20193000"/>
          <a:ext cx="369794" cy="201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200">
              <a:solidFill>
                <a:srgbClr val="FF0000"/>
              </a:solidFill>
            </a:rPr>
            <a:t>Q</a:t>
          </a:r>
          <a:r>
            <a:rPr lang="de-DE" sz="1200" baseline="-25000">
              <a:solidFill>
                <a:srgbClr val="FF0000"/>
              </a:solidFill>
            </a:rPr>
            <a:t>P</a:t>
          </a:r>
        </a:p>
      </xdr:txBody>
    </xdr:sp>
    <xdr:clientData/>
  </xdr:twoCellAnchor>
  <xdr:twoCellAnchor>
    <xdr:from>
      <xdr:col>7</xdr:col>
      <xdr:colOff>76910</xdr:colOff>
      <xdr:row>126</xdr:row>
      <xdr:rowOff>119062</xdr:rowOff>
    </xdr:from>
    <xdr:to>
      <xdr:col>7</xdr:col>
      <xdr:colOff>346785</xdr:colOff>
      <xdr:row>126</xdr:row>
      <xdr:rowOff>248526</xdr:rowOff>
    </xdr:to>
    <xdr:sp macro="" textlink="">
      <xdr:nvSpPr>
        <xdr:cNvPr id="23" name="Gleichschenkliges Dreieck 22"/>
        <xdr:cNvSpPr/>
      </xdr:nvSpPr>
      <xdr:spPr>
        <a:xfrm rot="10800000">
          <a:off x="5752496" y="27051821"/>
          <a:ext cx="269875" cy="12946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7</xdr:col>
      <xdr:colOff>82386</xdr:colOff>
      <xdr:row>133</xdr:row>
      <xdr:rowOff>251113</xdr:rowOff>
    </xdr:from>
    <xdr:to>
      <xdr:col>7</xdr:col>
      <xdr:colOff>352261</xdr:colOff>
      <xdr:row>134</xdr:row>
      <xdr:rowOff>136033</xdr:rowOff>
    </xdr:to>
    <xdr:sp macro="" textlink="">
      <xdr:nvSpPr>
        <xdr:cNvPr id="55" name="Gleichschenkliges Dreieck 54"/>
        <xdr:cNvSpPr/>
      </xdr:nvSpPr>
      <xdr:spPr>
        <a:xfrm rot="10800000">
          <a:off x="5754091" y="30410727"/>
          <a:ext cx="269875" cy="144692"/>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7</xdr:col>
      <xdr:colOff>77405</xdr:colOff>
      <xdr:row>139</xdr:row>
      <xdr:rowOff>152400</xdr:rowOff>
    </xdr:from>
    <xdr:to>
      <xdr:col>7</xdr:col>
      <xdr:colOff>347280</xdr:colOff>
      <xdr:row>140</xdr:row>
      <xdr:rowOff>27864</xdr:rowOff>
    </xdr:to>
    <xdr:sp macro="" textlink="">
      <xdr:nvSpPr>
        <xdr:cNvPr id="58" name="Gleichschenkliges Dreieck 57"/>
        <xdr:cNvSpPr/>
      </xdr:nvSpPr>
      <xdr:spPr>
        <a:xfrm rot="10800000">
          <a:off x="5754305" y="30899100"/>
          <a:ext cx="269875" cy="13581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7</xdr:col>
      <xdr:colOff>82386</xdr:colOff>
      <xdr:row>138</xdr:row>
      <xdr:rowOff>76200</xdr:rowOff>
    </xdr:from>
    <xdr:to>
      <xdr:col>7</xdr:col>
      <xdr:colOff>352261</xdr:colOff>
      <xdr:row>138</xdr:row>
      <xdr:rowOff>212014</xdr:rowOff>
    </xdr:to>
    <xdr:sp macro="" textlink="">
      <xdr:nvSpPr>
        <xdr:cNvPr id="59" name="Gleichschenkliges Dreieck 58"/>
        <xdr:cNvSpPr/>
      </xdr:nvSpPr>
      <xdr:spPr>
        <a:xfrm rot="10800000">
          <a:off x="5759286" y="30562550"/>
          <a:ext cx="269875" cy="13581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7</xdr:col>
      <xdr:colOff>85397</xdr:colOff>
      <xdr:row>140</xdr:row>
      <xdr:rowOff>157655</xdr:rowOff>
    </xdr:from>
    <xdr:to>
      <xdr:col>7</xdr:col>
      <xdr:colOff>355272</xdr:colOff>
      <xdr:row>141</xdr:row>
      <xdr:rowOff>33120</xdr:rowOff>
    </xdr:to>
    <xdr:sp macro="" textlink="">
      <xdr:nvSpPr>
        <xdr:cNvPr id="63" name="Gleichschenkliges Dreieck 62"/>
        <xdr:cNvSpPr/>
      </xdr:nvSpPr>
      <xdr:spPr>
        <a:xfrm rot="10800000">
          <a:off x="5760983" y="30677069"/>
          <a:ext cx="269875" cy="13165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7</xdr:col>
      <xdr:colOff>85397</xdr:colOff>
      <xdr:row>142</xdr:row>
      <xdr:rowOff>210207</xdr:rowOff>
    </xdr:from>
    <xdr:to>
      <xdr:col>7</xdr:col>
      <xdr:colOff>355272</xdr:colOff>
      <xdr:row>143</xdr:row>
      <xdr:rowOff>85671</xdr:rowOff>
    </xdr:to>
    <xdr:sp macro="" textlink="">
      <xdr:nvSpPr>
        <xdr:cNvPr id="65" name="Gleichschenkliges Dreieck 64"/>
        <xdr:cNvSpPr/>
      </xdr:nvSpPr>
      <xdr:spPr>
        <a:xfrm rot="10800000">
          <a:off x="5760983" y="31242000"/>
          <a:ext cx="269875" cy="13165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7</xdr:col>
      <xdr:colOff>85398</xdr:colOff>
      <xdr:row>144</xdr:row>
      <xdr:rowOff>19707</xdr:rowOff>
    </xdr:from>
    <xdr:to>
      <xdr:col>7</xdr:col>
      <xdr:colOff>355273</xdr:colOff>
      <xdr:row>144</xdr:row>
      <xdr:rowOff>151361</xdr:rowOff>
    </xdr:to>
    <xdr:sp macro="" textlink="">
      <xdr:nvSpPr>
        <xdr:cNvPr id="70" name="Gleichschenkliges Dreieck 69"/>
        <xdr:cNvSpPr/>
      </xdr:nvSpPr>
      <xdr:spPr>
        <a:xfrm rot="10800000">
          <a:off x="5760984" y="31563879"/>
          <a:ext cx="269875" cy="131654"/>
        </a:xfrm>
        <a:prstGeom prs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8</xdr:col>
      <xdr:colOff>51288</xdr:colOff>
      <xdr:row>143</xdr:row>
      <xdr:rowOff>80596</xdr:rowOff>
    </xdr:from>
    <xdr:to>
      <xdr:col>8</xdr:col>
      <xdr:colOff>363444</xdr:colOff>
      <xdr:row>143</xdr:row>
      <xdr:rowOff>81207</xdr:rowOff>
    </xdr:to>
    <xdr:cxnSp macro="">
      <xdr:nvCxnSpPr>
        <xdr:cNvPr id="77" name="Gerader Verbinder 76"/>
        <xdr:cNvCxnSpPr/>
      </xdr:nvCxnSpPr>
      <xdr:spPr>
        <a:xfrm flipV="1">
          <a:off x="6704134" y="31395865"/>
          <a:ext cx="312156" cy="6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89859</xdr:colOff>
      <xdr:row>125</xdr:row>
      <xdr:rowOff>152759</xdr:rowOff>
    </xdr:from>
    <xdr:to>
      <xdr:col>7</xdr:col>
      <xdr:colOff>341462</xdr:colOff>
      <xdr:row>126</xdr:row>
      <xdr:rowOff>89857</xdr:rowOff>
    </xdr:to>
    <xdr:sp macro="" textlink="">
      <xdr:nvSpPr>
        <xdr:cNvPr id="91" name="Ellipse 90"/>
        <xdr:cNvSpPr/>
      </xdr:nvSpPr>
      <xdr:spPr>
        <a:xfrm>
          <a:off x="5777901" y="27281037"/>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1</a:t>
          </a:r>
        </a:p>
      </xdr:txBody>
    </xdr:sp>
    <xdr:clientData/>
  </xdr:twoCellAnchor>
  <xdr:twoCellAnchor>
    <xdr:from>
      <xdr:col>7</xdr:col>
      <xdr:colOff>98845</xdr:colOff>
      <xdr:row>133</xdr:row>
      <xdr:rowOff>44929</xdr:rowOff>
    </xdr:from>
    <xdr:to>
      <xdr:col>7</xdr:col>
      <xdr:colOff>350448</xdr:colOff>
      <xdr:row>133</xdr:row>
      <xdr:rowOff>242617</xdr:rowOff>
    </xdr:to>
    <xdr:sp macro="" textlink="">
      <xdr:nvSpPr>
        <xdr:cNvPr id="93" name="Ellipse 92"/>
        <xdr:cNvSpPr/>
      </xdr:nvSpPr>
      <xdr:spPr>
        <a:xfrm>
          <a:off x="5786887" y="29257924"/>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2</a:t>
          </a:r>
        </a:p>
      </xdr:txBody>
    </xdr:sp>
    <xdr:clientData/>
  </xdr:twoCellAnchor>
  <xdr:twoCellAnchor>
    <xdr:from>
      <xdr:col>7</xdr:col>
      <xdr:colOff>80874</xdr:colOff>
      <xdr:row>137</xdr:row>
      <xdr:rowOff>107830</xdr:rowOff>
    </xdr:from>
    <xdr:to>
      <xdr:col>7</xdr:col>
      <xdr:colOff>332477</xdr:colOff>
      <xdr:row>138</xdr:row>
      <xdr:rowOff>44929</xdr:rowOff>
    </xdr:to>
    <xdr:sp macro="" textlink="">
      <xdr:nvSpPr>
        <xdr:cNvPr id="94" name="Ellipse 93"/>
        <xdr:cNvSpPr/>
      </xdr:nvSpPr>
      <xdr:spPr>
        <a:xfrm>
          <a:off x="5768916" y="30363184"/>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3</a:t>
          </a:r>
        </a:p>
      </xdr:txBody>
    </xdr:sp>
    <xdr:clientData/>
  </xdr:twoCellAnchor>
  <xdr:twoCellAnchor>
    <xdr:from>
      <xdr:col>7</xdr:col>
      <xdr:colOff>206674</xdr:colOff>
      <xdr:row>138</xdr:row>
      <xdr:rowOff>197689</xdr:rowOff>
    </xdr:from>
    <xdr:to>
      <xdr:col>7</xdr:col>
      <xdr:colOff>458277</xdr:colOff>
      <xdr:row>139</xdr:row>
      <xdr:rowOff>134787</xdr:rowOff>
    </xdr:to>
    <xdr:sp macro="" textlink="">
      <xdr:nvSpPr>
        <xdr:cNvPr id="95" name="Ellipse 94"/>
        <xdr:cNvSpPr/>
      </xdr:nvSpPr>
      <xdr:spPr>
        <a:xfrm>
          <a:off x="5894716" y="30713632"/>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4</a:t>
          </a:r>
        </a:p>
      </xdr:txBody>
    </xdr:sp>
    <xdr:clientData/>
  </xdr:twoCellAnchor>
  <xdr:twoCellAnchor>
    <xdr:from>
      <xdr:col>6</xdr:col>
      <xdr:colOff>620024</xdr:colOff>
      <xdr:row>140</xdr:row>
      <xdr:rowOff>44929</xdr:rowOff>
    </xdr:from>
    <xdr:to>
      <xdr:col>7</xdr:col>
      <xdr:colOff>107830</xdr:colOff>
      <xdr:row>140</xdr:row>
      <xdr:rowOff>242617</xdr:rowOff>
    </xdr:to>
    <xdr:sp macro="" textlink="">
      <xdr:nvSpPr>
        <xdr:cNvPr id="96" name="Ellipse 95"/>
        <xdr:cNvSpPr/>
      </xdr:nvSpPr>
      <xdr:spPr>
        <a:xfrm>
          <a:off x="5544269" y="31082052"/>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5</a:t>
          </a:r>
        </a:p>
      </xdr:txBody>
    </xdr:sp>
    <xdr:clientData/>
  </xdr:twoCellAnchor>
  <xdr:twoCellAnchor>
    <xdr:from>
      <xdr:col>7</xdr:col>
      <xdr:colOff>89859</xdr:colOff>
      <xdr:row>141</xdr:row>
      <xdr:rowOff>224646</xdr:rowOff>
    </xdr:from>
    <xdr:to>
      <xdr:col>7</xdr:col>
      <xdr:colOff>341462</xdr:colOff>
      <xdr:row>142</xdr:row>
      <xdr:rowOff>161744</xdr:rowOff>
    </xdr:to>
    <xdr:sp macro="" textlink="">
      <xdr:nvSpPr>
        <xdr:cNvPr id="98" name="Ellipse 97"/>
        <xdr:cNvSpPr/>
      </xdr:nvSpPr>
      <xdr:spPr>
        <a:xfrm>
          <a:off x="5777901" y="31522358"/>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6</a:t>
          </a:r>
        </a:p>
      </xdr:txBody>
    </xdr:sp>
    <xdr:clientData/>
  </xdr:twoCellAnchor>
  <xdr:twoCellAnchor>
    <xdr:from>
      <xdr:col>7</xdr:col>
      <xdr:colOff>359434</xdr:colOff>
      <xdr:row>143</xdr:row>
      <xdr:rowOff>89858</xdr:rowOff>
    </xdr:from>
    <xdr:to>
      <xdr:col>7</xdr:col>
      <xdr:colOff>611037</xdr:colOff>
      <xdr:row>144</xdr:row>
      <xdr:rowOff>26957</xdr:rowOff>
    </xdr:to>
    <xdr:sp macro="" textlink="">
      <xdr:nvSpPr>
        <xdr:cNvPr id="100" name="Ellipse 99"/>
        <xdr:cNvSpPr/>
      </xdr:nvSpPr>
      <xdr:spPr>
        <a:xfrm>
          <a:off x="6047476" y="31908750"/>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7</a:t>
          </a:r>
        </a:p>
      </xdr:txBody>
    </xdr:sp>
    <xdr:clientData/>
  </xdr:twoCellAnchor>
  <xdr:twoCellAnchor>
    <xdr:from>
      <xdr:col>9</xdr:col>
      <xdr:colOff>539151</xdr:colOff>
      <xdr:row>126</xdr:row>
      <xdr:rowOff>44929</xdr:rowOff>
    </xdr:from>
    <xdr:to>
      <xdr:col>9</xdr:col>
      <xdr:colOff>790754</xdr:colOff>
      <xdr:row>126</xdr:row>
      <xdr:rowOff>242617</xdr:rowOff>
    </xdr:to>
    <xdr:sp macro="" textlink="">
      <xdr:nvSpPr>
        <xdr:cNvPr id="101" name="Ellipse 100"/>
        <xdr:cNvSpPr/>
      </xdr:nvSpPr>
      <xdr:spPr>
        <a:xfrm>
          <a:off x="8141179" y="27433797"/>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1</a:t>
          </a:r>
        </a:p>
      </xdr:txBody>
    </xdr:sp>
    <xdr:clientData/>
  </xdr:twoCellAnchor>
  <xdr:twoCellAnchor>
    <xdr:from>
      <xdr:col>9</xdr:col>
      <xdr:colOff>539151</xdr:colOff>
      <xdr:row>129</xdr:row>
      <xdr:rowOff>44930</xdr:rowOff>
    </xdr:from>
    <xdr:to>
      <xdr:col>9</xdr:col>
      <xdr:colOff>790754</xdr:colOff>
      <xdr:row>129</xdr:row>
      <xdr:rowOff>242618</xdr:rowOff>
    </xdr:to>
    <xdr:sp macro="" textlink="">
      <xdr:nvSpPr>
        <xdr:cNvPr id="102" name="Ellipse 101"/>
        <xdr:cNvSpPr/>
      </xdr:nvSpPr>
      <xdr:spPr>
        <a:xfrm>
          <a:off x="8141179" y="28215567"/>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2</a:t>
          </a:r>
        </a:p>
      </xdr:txBody>
    </xdr:sp>
    <xdr:clientData/>
  </xdr:twoCellAnchor>
  <xdr:twoCellAnchor>
    <xdr:from>
      <xdr:col>9</xdr:col>
      <xdr:colOff>584080</xdr:colOff>
      <xdr:row>134</xdr:row>
      <xdr:rowOff>35943</xdr:rowOff>
    </xdr:from>
    <xdr:to>
      <xdr:col>9</xdr:col>
      <xdr:colOff>835683</xdr:colOff>
      <xdr:row>134</xdr:row>
      <xdr:rowOff>233631</xdr:rowOff>
    </xdr:to>
    <xdr:sp macro="" textlink="">
      <xdr:nvSpPr>
        <xdr:cNvPr id="103" name="Ellipse 102"/>
        <xdr:cNvSpPr/>
      </xdr:nvSpPr>
      <xdr:spPr>
        <a:xfrm>
          <a:off x="8186108" y="29509528"/>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3</a:t>
          </a:r>
        </a:p>
      </xdr:txBody>
    </xdr:sp>
    <xdr:clientData/>
  </xdr:twoCellAnchor>
  <xdr:twoCellAnchor>
    <xdr:from>
      <xdr:col>9</xdr:col>
      <xdr:colOff>593066</xdr:colOff>
      <xdr:row>137</xdr:row>
      <xdr:rowOff>26958</xdr:rowOff>
    </xdr:from>
    <xdr:to>
      <xdr:col>9</xdr:col>
      <xdr:colOff>844669</xdr:colOff>
      <xdr:row>137</xdr:row>
      <xdr:rowOff>224646</xdr:rowOff>
    </xdr:to>
    <xdr:sp macro="" textlink="">
      <xdr:nvSpPr>
        <xdr:cNvPr id="104" name="Ellipse 103"/>
        <xdr:cNvSpPr/>
      </xdr:nvSpPr>
      <xdr:spPr>
        <a:xfrm>
          <a:off x="8195094" y="30282312"/>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4</a:t>
          </a:r>
        </a:p>
      </xdr:txBody>
    </xdr:sp>
    <xdr:clientData/>
  </xdr:twoCellAnchor>
  <xdr:twoCellAnchor>
    <xdr:from>
      <xdr:col>9</xdr:col>
      <xdr:colOff>548137</xdr:colOff>
      <xdr:row>140</xdr:row>
      <xdr:rowOff>35943</xdr:rowOff>
    </xdr:from>
    <xdr:to>
      <xdr:col>9</xdr:col>
      <xdr:colOff>799740</xdr:colOff>
      <xdr:row>140</xdr:row>
      <xdr:rowOff>233631</xdr:rowOff>
    </xdr:to>
    <xdr:sp macro="" textlink="">
      <xdr:nvSpPr>
        <xdr:cNvPr id="106" name="Ellipse 105"/>
        <xdr:cNvSpPr/>
      </xdr:nvSpPr>
      <xdr:spPr>
        <a:xfrm>
          <a:off x="8150165" y="31073066"/>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5</a:t>
          </a:r>
        </a:p>
      </xdr:txBody>
    </xdr:sp>
    <xdr:clientData/>
  </xdr:twoCellAnchor>
  <xdr:twoCellAnchor>
    <xdr:from>
      <xdr:col>9</xdr:col>
      <xdr:colOff>569026</xdr:colOff>
      <xdr:row>142</xdr:row>
      <xdr:rowOff>37110</xdr:rowOff>
    </xdr:from>
    <xdr:to>
      <xdr:col>9</xdr:col>
      <xdr:colOff>820629</xdr:colOff>
      <xdr:row>142</xdr:row>
      <xdr:rowOff>233980</xdr:rowOff>
    </xdr:to>
    <xdr:sp macro="" textlink="">
      <xdr:nvSpPr>
        <xdr:cNvPr id="107" name="Ellipse 106"/>
        <xdr:cNvSpPr/>
      </xdr:nvSpPr>
      <xdr:spPr>
        <a:xfrm>
          <a:off x="8189026" y="31494350"/>
          <a:ext cx="251603" cy="19687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6</a:t>
          </a:r>
        </a:p>
      </xdr:txBody>
    </xdr:sp>
    <xdr:clientData/>
  </xdr:twoCellAnchor>
  <xdr:twoCellAnchor>
    <xdr:from>
      <xdr:col>9</xdr:col>
      <xdr:colOff>569025</xdr:colOff>
      <xdr:row>144</xdr:row>
      <xdr:rowOff>24740</xdr:rowOff>
    </xdr:from>
    <xdr:to>
      <xdr:col>9</xdr:col>
      <xdr:colOff>820628</xdr:colOff>
      <xdr:row>144</xdr:row>
      <xdr:rowOff>221612</xdr:rowOff>
    </xdr:to>
    <xdr:sp macro="" textlink="">
      <xdr:nvSpPr>
        <xdr:cNvPr id="108" name="Ellipse 107"/>
        <xdr:cNvSpPr/>
      </xdr:nvSpPr>
      <xdr:spPr>
        <a:xfrm>
          <a:off x="8189025" y="32001526"/>
          <a:ext cx="251603" cy="196872"/>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7</a:t>
          </a:r>
        </a:p>
      </xdr:txBody>
    </xdr:sp>
    <xdr:clientData/>
  </xdr:twoCellAnchor>
  <xdr:twoCellAnchor editAs="oneCell">
    <xdr:from>
      <xdr:col>4</xdr:col>
      <xdr:colOff>83341</xdr:colOff>
      <xdr:row>99</xdr:row>
      <xdr:rowOff>107156</xdr:rowOff>
    </xdr:from>
    <xdr:to>
      <xdr:col>7</xdr:col>
      <xdr:colOff>666749</xdr:colOff>
      <xdr:row>114</xdr:row>
      <xdr:rowOff>178234</xdr:rowOff>
    </xdr:to>
    <xdr:pic>
      <xdr:nvPicPr>
        <xdr:cNvPr id="28" name="Grafik 2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131341" y="21597937"/>
          <a:ext cx="3214689" cy="4000141"/>
        </a:xfrm>
        <a:prstGeom prst="rect">
          <a:avLst/>
        </a:prstGeom>
      </xdr:spPr>
    </xdr:pic>
    <xdr:clientData/>
  </xdr:twoCellAnchor>
  <xdr:twoCellAnchor>
    <xdr:from>
      <xdr:col>4</xdr:col>
      <xdr:colOff>539151</xdr:colOff>
      <xdr:row>150</xdr:row>
      <xdr:rowOff>44929</xdr:rowOff>
    </xdr:from>
    <xdr:to>
      <xdr:col>4</xdr:col>
      <xdr:colOff>790754</xdr:colOff>
      <xdr:row>150</xdr:row>
      <xdr:rowOff>242617</xdr:rowOff>
    </xdr:to>
    <xdr:sp macro="" textlink="">
      <xdr:nvSpPr>
        <xdr:cNvPr id="69" name="Ellipse 68"/>
        <xdr:cNvSpPr/>
      </xdr:nvSpPr>
      <xdr:spPr>
        <a:xfrm>
          <a:off x="8127044" y="28074114"/>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1</a:t>
          </a:r>
        </a:p>
      </xdr:txBody>
    </xdr:sp>
    <xdr:clientData/>
  </xdr:twoCellAnchor>
  <xdr:twoCellAnchor>
    <xdr:from>
      <xdr:col>4</xdr:col>
      <xdr:colOff>539151</xdr:colOff>
      <xdr:row>152</xdr:row>
      <xdr:rowOff>44930</xdr:rowOff>
    </xdr:from>
    <xdr:to>
      <xdr:col>4</xdr:col>
      <xdr:colOff>790754</xdr:colOff>
      <xdr:row>152</xdr:row>
      <xdr:rowOff>242618</xdr:rowOff>
    </xdr:to>
    <xdr:sp macro="" textlink="">
      <xdr:nvSpPr>
        <xdr:cNvPr id="73" name="Ellipse 72"/>
        <xdr:cNvSpPr/>
      </xdr:nvSpPr>
      <xdr:spPr>
        <a:xfrm>
          <a:off x="8127044" y="28844677"/>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2</a:t>
          </a:r>
        </a:p>
      </xdr:txBody>
    </xdr:sp>
    <xdr:clientData/>
  </xdr:twoCellAnchor>
  <xdr:twoCellAnchor>
    <xdr:from>
      <xdr:col>4</xdr:col>
      <xdr:colOff>584080</xdr:colOff>
      <xdr:row>154</xdr:row>
      <xdr:rowOff>35943</xdr:rowOff>
    </xdr:from>
    <xdr:to>
      <xdr:col>4</xdr:col>
      <xdr:colOff>835683</xdr:colOff>
      <xdr:row>154</xdr:row>
      <xdr:rowOff>233631</xdr:rowOff>
    </xdr:to>
    <xdr:sp macro="" textlink="">
      <xdr:nvSpPr>
        <xdr:cNvPr id="75" name="Ellipse 74"/>
        <xdr:cNvSpPr/>
      </xdr:nvSpPr>
      <xdr:spPr>
        <a:xfrm>
          <a:off x="8171973" y="30119960"/>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3</a:t>
          </a:r>
        </a:p>
      </xdr:txBody>
    </xdr:sp>
    <xdr:clientData/>
  </xdr:twoCellAnchor>
  <xdr:twoCellAnchor>
    <xdr:from>
      <xdr:col>4</xdr:col>
      <xdr:colOff>593066</xdr:colOff>
      <xdr:row>156</xdr:row>
      <xdr:rowOff>26958</xdr:rowOff>
    </xdr:from>
    <xdr:to>
      <xdr:col>4</xdr:col>
      <xdr:colOff>844669</xdr:colOff>
      <xdr:row>156</xdr:row>
      <xdr:rowOff>224646</xdr:rowOff>
    </xdr:to>
    <xdr:sp macro="" textlink="">
      <xdr:nvSpPr>
        <xdr:cNvPr id="76" name="Ellipse 75"/>
        <xdr:cNvSpPr/>
      </xdr:nvSpPr>
      <xdr:spPr>
        <a:xfrm>
          <a:off x="8180959" y="30881537"/>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4</a:t>
          </a:r>
        </a:p>
      </xdr:txBody>
    </xdr:sp>
    <xdr:clientData/>
  </xdr:twoCellAnchor>
  <xdr:twoCellAnchor>
    <xdr:from>
      <xdr:col>4</xdr:col>
      <xdr:colOff>548137</xdr:colOff>
      <xdr:row>158</xdr:row>
      <xdr:rowOff>35943</xdr:rowOff>
    </xdr:from>
    <xdr:to>
      <xdr:col>4</xdr:col>
      <xdr:colOff>799740</xdr:colOff>
      <xdr:row>158</xdr:row>
      <xdr:rowOff>233631</xdr:rowOff>
    </xdr:to>
    <xdr:sp macro="" textlink="">
      <xdr:nvSpPr>
        <xdr:cNvPr id="82" name="Ellipse 81"/>
        <xdr:cNvSpPr/>
      </xdr:nvSpPr>
      <xdr:spPr>
        <a:xfrm>
          <a:off x="8136030" y="31661083"/>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5</a:t>
          </a:r>
        </a:p>
      </xdr:txBody>
    </xdr:sp>
    <xdr:clientData/>
  </xdr:twoCellAnchor>
  <xdr:twoCellAnchor>
    <xdr:from>
      <xdr:col>4</xdr:col>
      <xdr:colOff>569026</xdr:colOff>
      <xdr:row>161</xdr:row>
      <xdr:rowOff>37110</xdr:rowOff>
    </xdr:from>
    <xdr:to>
      <xdr:col>4</xdr:col>
      <xdr:colOff>820629</xdr:colOff>
      <xdr:row>161</xdr:row>
      <xdr:rowOff>233980</xdr:rowOff>
    </xdr:to>
    <xdr:sp macro="" textlink="">
      <xdr:nvSpPr>
        <xdr:cNvPr id="83" name="Ellipse 82"/>
        <xdr:cNvSpPr/>
      </xdr:nvSpPr>
      <xdr:spPr>
        <a:xfrm>
          <a:off x="8156919" y="32175958"/>
          <a:ext cx="251603" cy="19687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6</a:t>
          </a:r>
        </a:p>
      </xdr:txBody>
    </xdr:sp>
    <xdr:clientData/>
  </xdr:twoCellAnchor>
  <xdr:twoCellAnchor>
    <xdr:from>
      <xdr:col>4</xdr:col>
      <xdr:colOff>569025</xdr:colOff>
      <xdr:row>163</xdr:row>
      <xdr:rowOff>24740</xdr:rowOff>
    </xdr:from>
    <xdr:to>
      <xdr:col>4</xdr:col>
      <xdr:colOff>820628</xdr:colOff>
      <xdr:row>163</xdr:row>
      <xdr:rowOff>221612</xdr:rowOff>
    </xdr:to>
    <xdr:sp macro="" textlink="">
      <xdr:nvSpPr>
        <xdr:cNvPr id="84" name="Ellipse 83"/>
        <xdr:cNvSpPr/>
      </xdr:nvSpPr>
      <xdr:spPr>
        <a:xfrm>
          <a:off x="8156918" y="32677296"/>
          <a:ext cx="251603" cy="196872"/>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7</a:t>
          </a:r>
        </a:p>
      </xdr:txBody>
    </xdr:sp>
    <xdr:clientData/>
  </xdr:twoCellAnchor>
  <xdr:twoCellAnchor editAs="oneCell">
    <xdr:from>
      <xdr:col>10</xdr:col>
      <xdr:colOff>652115</xdr:colOff>
      <xdr:row>0</xdr:row>
      <xdr:rowOff>94479</xdr:rowOff>
    </xdr:from>
    <xdr:to>
      <xdr:col>11</xdr:col>
      <xdr:colOff>386921</xdr:colOff>
      <xdr:row>1</xdr:row>
      <xdr:rowOff>157645</xdr:rowOff>
    </xdr:to>
    <xdr:pic>
      <xdr:nvPicPr>
        <xdr:cNvPr id="15" name="Grafik 14"/>
        <xdr:cNvPicPr>
          <a:picLocks noChangeAspect="1"/>
        </xdr:cNvPicPr>
      </xdr:nvPicPr>
      <xdr:blipFill>
        <a:blip xmlns:r="http://schemas.openxmlformats.org/officeDocument/2006/relationships" r:embed="rId7"/>
        <a:stretch>
          <a:fillRect/>
        </a:stretch>
      </xdr:blipFill>
      <xdr:spPr>
        <a:xfrm>
          <a:off x="9116785" y="94479"/>
          <a:ext cx="1055726" cy="332741"/>
        </a:xfrm>
        <a:prstGeom prst="rect">
          <a:avLst/>
        </a:prstGeom>
      </xdr:spPr>
    </xdr:pic>
    <xdr:clientData/>
  </xdr:twoCellAnchor>
  <xdr:twoCellAnchor>
    <xdr:from>
      <xdr:col>9</xdr:col>
      <xdr:colOff>539151</xdr:colOff>
      <xdr:row>126</xdr:row>
      <xdr:rowOff>44929</xdr:rowOff>
    </xdr:from>
    <xdr:to>
      <xdr:col>9</xdr:col>
      <xdr:colOff>790754</xdr:colOff>
      <xdr:row>126</xdr:row>
      <xdr:rowOff>242617</xdr:rowOff>
    </xdr:to>
    <xdr:sp macro="" textlink="">
      <xdr:nvSpPr>
        <xdr:cNvPr id="74" name="Ellipse 73"/>
        <xdr:cNvSpPr/>
      </xdr:nvSpPr>
      <xdr:spPr>
        <a:xfrm>
          <a:off x="8130576" y="27334054"/>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1</a:t>
          </a:r>
        </a:p>
      </xdr:txBody>
    </xdr:sp>
    <xdr:clientData/>
  </xdr:twoCellAnchor>
  <xdr:twoCellAnchor>
    <xdr:from>
      <xdr:col>9</xdr:col>
      <xdr:colOff>539151</xdr:colOff>
      <xdr:row>129</xdr:row>
      <xdr:rowOff>44930</xdr:rowOff>
    </xdr:from>
    <xdr:to>
      <xdr:col>9</xdr:col>
      <xdr:colOff>790754</xdr:colOff>
      <xdr:row>129</xdr:row>
      <xdr:rowOff>242618</xdr:rowOff>
    </xdr:to>
    <xdr:sp macro="" textlink="">
      <xdr:nvSpPr>
        <xdr:cNvPr id="81" name="Ellipse 80"/>
        <xdr:cNvSpPr/>
      </xdr:nvSpPr>
      <xdr:spPr>
        <a:xfrm>
          <a:off x="8130576" y="28105580"/>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2</a:t>
          </a:r>
        </a:p>
      </xdr:txBody>
    </xdr:sp>
    <xdr:clientData/>
  </xdr:twoCellAnchor>
  <xdr:twoCellAnchor>
    <xdr:from>
      <xdr:col>9</xdr:col>
      <xdr:colOff>584080</xdr:colOff>
      <xdr:row>134</xdr:row>
      <xdr:rowOff>35943</xdr:rowOff>
    </xdr:from>
    <xdr:to>
      <xdr:col>9</xdr:col>
      <xdr:colOff>835683</xdr:colOff>
      <xdr:row>134</xdr:row>
      <xdr:rowOff>233631</xdr:rowOff>
    </xdr:to>
    <xdr:sp macro="" textlink="">
      <xdr:nvSpPr>
        <xdr:cNvPr id="85" name="Ellipse 84"/>
        <xdr:cNvSpPr/>
      </xdr:nvSpPr>
      <xdr:spPr>
        <a:xfrm>
          <a:off x="8175505" y="29382468"/>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3</a:t>
          </a:r>
        </a:p>
      </xdr:txBody>
    </xdr:sp>
    <xdr:clientData/>
  </xdr:twoCellAnchor>
  <xdr:twoCellAnchor>
    <xdr:from>
      <xdr:col>9</xdr:col>
      <xdr:colOff>593066</xdr:colOff>
      <xdr:row>137</xdr:row>
      <xdr:rowOff>26958</xdr:rowOff>
    </xdr:from>
    <xdr:to>
      <xdr:col>9</xdr:col>
      <xdr:colOff>844669</xdr:colOff>
      <xdr:row>137</xdr:row>
      <xdr:rowOff>224646</xdr:rowOff>
    </xdr:to>
    <xdr:sp macro="" textlink="">
      <xdr:nvSpPr>
        <xdr:cNvPr id="86" name="Ellipse 85"/>
        <xdr:cNvSpPr/>
      </xdr:nvSpPr>
      <xdr:spPr>
        <a:xfrm>
          <a:off x="8184491" y="30145008"/>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4</a:t>
          </a:r>
        </a:p>
      </xdr:txBody>
    </xdr:sp>
    <xdr:clientData/>
  </xdr:twoCellAnchor>
  <xdr:twoCellAnchor>
    <xdr:from>
      <xdr:col>9</xdr:col>
      <xdr:colOff>548137</xdr:colOff>
      <xdr:row>140</xdr:row>
      <xdr:rowOff>35943</xdr:rowOff>
    </xdr:from>
    <xdr:to>
      <xdr:col>9</xdr:col>
      <xdr:colOff>799740</xdr:colOff>
      <xdr:row>140</xdr:row>
      <xdr:rowOff>233631</xdr:rowOff>
    </xdr:to>
    <xdr:sp macro="" textlink="">
      <xdr:nvSpPr>
        <xdr:cNvPr id="87" name="Ellipse 86"/>
        <xdr:cNvSpPr/>
      </xdr:nvSpPr>
      <xdr:spPr>
        <a:xfrm>
          <a:off x="8139562" y="30925518"/>
          <a:ext cx="251603" cy="197688"/>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5</a:t>
          </a:r>
        </a:p>
      </xdr:txBody>
    </xdr:sp>
    <xdr:clientData/>
  </xdr:twoCellAnchor>
  <xdr:twoCellAnchor>
    <xdr:from>
      <xdr:col>9</xdr:col>
      <xdr:colOff>569026</xdr:colOff>
      <xdr:row>142</xdr:row>
      <xdr:rowOff>37110</xdr:rowOff>
    </xdr:from>
    <xdr:to>
      <xdr:col>9</xdr:col>
      <xdr:colOff>820629</xdr:colOff>
      <xdr:row>142</xdr:row>
      <xdr:rowOff>233980</xdr:rowOff>
    </xdr:to>
    <xdr:sp macro="" textlink="">
      <xdr:nvSpPr>
        <xdr:cNvPr id="88" name="Ellipse 87"/>
        <xdr:cNvSpPr/>
      </xdr:nvSpPr>
      <xdr:spPr>
        <a:xfrm>
          <a:off x="8160451" y="31441035"/>
          <a:ext cx="251603" cy="19687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6</a:t>
          </a:r>
        </a:p>
      </xdr:txBody>
    </xdr:sp>
    <xdr:clientData/>
  </xdr:twoCellAnchor>
  <xdr:twoCellAnchor>
    <xdr:from>
      <xdr:col>9</xdr:col>
      <xdr:colOff>569025</xdr:colOff>
      <xdr:row>144</xdr:row>
      <xdr:rowOff>24740</xdr:rowOff>
    </xdr:from>
    <xdr:to>
      <xdr:col>9</xdr:col>
      <xdr:colOff>820628</xdr:colOff>
      <xdr:row>144</xdr:row>
      <xdr:rowOff>221612</xdr:rowOff>
    </xdr:to>
    <xdr:sp macro="" textlink="">
      <xdr:nvSpPr>
        <xdr:cNvPr id="89" name="Ellipse 88"/>
        <xdr:cNvSpPr/>
      </xdr:nvSpPr>
      <xdr:spPr>
        <a:xfrm>
          <a:off x="8160450" y="31943015"/>
          <a:ext cx="251603" cy="196872"/>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ctr"/>
        <a:lstStyle/>
        <a:p>
          <a:pPr algn="ctr"/>
          <a:r>
            <a:rPr lang="de-DE" sz="1400">
              <a:solidFill>
                <a:srgbClr val="FF0000"/>
              </a:solidFill>
            </a:rPr>
            <a:t>7</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149</xdr:row>
      <xdr:rowOff>0</xdr:rowOff>
    </xdr:from>
    <xdr:ext cx="4261872" cy="841769"/>
    <mc:AlternateContent xmlns:mc="http://schemas.openxmlformats.org/markup-compatibility/2006" xmlns:a14="http://schemas.microsoft.com/office/drawing/2010/main">
      <mc:Choice Requires="a14">
        <xdr:sp macro="" textlink="">
          <xdr:nvSpPr>
            <xdr:cNvPr id="2" name="Textfeld 1"/>
            <xdr:cNvSpPr txBox="1"/>
          </xdr:nvSpPr>
          <xdr:spPr>
            <a:xfrm>
              <a:off x="1524000" y="23622000"/>
              <a:ext cx="4261872" cy="841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de-DE" sz="2400" i="1">
                            <a:latin typeface="Cambria Math" panose="02040503050406030204" pitchFamily="18" charset="0"/>
                          </a:rPr>
                        </m:ctrlPr>
                      </m:fPr>
                      <m:num>
                        <m:r>
                          <a:rPr lang="de-DE" sz="2400" i="1">
                            <a:latin typeface="Cambria Math" panose="02040503050406030204" pitchFamily="18" charset="0"/>
                          </a:rPr>
                          <m:t>1</m:t>
                        </m:r>
                      </m:num>
                      <m:den>
                        <m:rad>
                          <m:radPr>
                            <m:degHide m:val="on"/>
                            <m:ctrlPr>
                              <a:rPr lang="de-DE" sz="2400" i="1">
                                <a:latin typeface="Cambria Math" panose="02040503050406030204" pitchFamily="18" charset="0"/>
                              </a:rPr>
                            </m:ctrlPr>
                          </m:radPr>
                          <m:deg/>
                          <m:e>
                            <m:r>
                              <a:rPr lang="de-DE" sz="2400" i="1">
                                <a:latin typeface="Cambria Math" panose="02040503050406030204" pitchFamily="18" charset="0"/>
                              </a:rPr>
                              <m:t>𝜆</m:t>
                            </m:r>
                          </m:e>
                        </m:rad>
                      </m:den>
                    </m:f>
                    <m:r>
                      <a:rPr lang="de-DE" sz="2400" i="1">
                        <a:latin typeface="Cambria Math" panose="02040503050406030204" pitchFamily="18" charset="0"/>
                      </a:rPr>
                      <m:t>=−2</m:t>
                    </m:r>
                    <m:r>
                      <a:rPr lang="de-DE" sz="2400" i="1">
                        <a:latin typeface="Cambria Math" panose="02040503050406030204" pitchFamily="18" charset="0"/>
                      </a:rPr>
                      <m:t>𝑙𝑔</m:t>
                    </m:r>
                    <m:d>
                      <m:dPr>
                        <m:begChr m:val="["/>
                        <m:endChr m:val="]"/>
                        <m:ctrlPr>
                          <a:rPr lang="de-DE" sz="2400" i="1">
                            <a:latin typeface="Cambria Math" panose="02040503050406030204" pitchFamily="18" charset="0"/>
                          </a:rPr>
                        </m:ctrlPr>
                      </m:dPr>
                      <m:e>
                        <m:f>
                          <m:fPr>
                            <m:ctrlPr>
                              <a:rPr lang="de-DE" sz="2400" i="1">
                                <a:latin typeface="Cambria Math" panose="02040503050406030204" pitchFamily="18" charset="0"/>
                              </a:rPr>
                            </m:ctrlPr>
                          </m:fPr>
                          <m:num>
                            <m:r>
                              <a:rPr lang="de-DE" sz="2400" i="1">
                                <a:latin typeface="Cambria Math" panose="02040503050406030204" pitchFamily="18" charset="0"/>
                              </a:rPr>
                              <m:t>2,51</m:t>
                            </m:r>
                          </m:num>
                          <m:den>
                            <m:sSub>
                              <m:sSubPr>
                                <m:ctrlPr>
                                  <a:rPr lang="de-DE" sz="2400" i="1">
                                    <a:latin typeface="Cambria Math" panose="02040503050406030204" pitchFamily="18" charset="0"/>
                                  </a:rPr>
                                </m:ctrlPr>
                              </m:sSubPr>
                              <m:e>
                                <m:r>
                                  <a:rPr lang="de-DE" sz="2400" i="1">
                                    <a:latin typeface="Cambria Math" panose="02040503050406030204" pitchFamily="18" charset="0"/>
                                  </a:rPr>
                                  <m:t>𝑅</m:t>
                                </m:r>
                              </m:e>
                              <m:sub>
                                <m:r>
                                  <a:rPr lang="de-DE" sz="2400" i="1">
                                    <a:latin typeface="Cambria Math" panose="02040503050406030204" pitchFamily="18" charset="0"/>
                                  </a:rPr>
                                  <m:t>𝑒</m:t>
                                </m:r>
                              </m:sub>
                            </m:sSub>
                            <m:r>
                              <a:rPr lang="de-DE" sz="2400" i="1">
                                <a:latin typeface="Cambria Math" panose="02040503050406030204" pitchFamily="18" charset="0"/>
                              </a:rPr>
                              <m:t>⋅</m:t>
                            </m:r>
                            <m:rad>
                              <m:radPr>
                                <m:degHide m:val="on"/>
                                <m:ctrlPr>
                                  <a:rPr lang="de-DE" sz="2400" i="1">
                                    <a:latin typeface="Cambria Math" panose="02040503050406030204" pitchFamily="18" charset="0"/>
                                  </a:rPr>
                                </m:ctrlPr>
                              </m:radPr>
                              <m:deg/>
                              <m:e>
                                <m:r>
                                  <a:rPr lang="de-DE" sz="2400" i="1">
                                    <a:latin typeface="Cambria Math" panose="02040503050406030204" pitchFamily="18" charset="0"/>
                                  </a:rPr>
                                  <m:t>𝜆</m:t>
                                </m:r>
                              </m:e>
                            </m:rad>
                          </m:den>
                        </m:f>
                        <m:r>
                          <a:rPr lang="de-DE" sz="2400" i="1">
                            <a:latin typeface="Cambria Math" panose="02040503050406030204" pitchFamily="18" charset="0"/>
                          </a:rPr>
                          <m:t>+</m:t>
                        </m:r>
                        <m:f>
                          <m:fPr>
                            <m:ctrlPr>
                              <a:rPr lang="de-DE" sz="2400" i="1">
                                <a:latin typeface="Cambria Math" panose="02040503050406030204" pitchFamily="18" charset="0"/>
                              </a:rPr>
                            </m:ctrlPr>
                          </m:fPr>
                          <m:num>
                            <m:r>
                              <a:rPr lang="de-DE" sz="2400" i="1">
                                <a:latin typeface="Cambria Math" panose="02040503050406030204" pitchFamily="18" charset="0"/>
                              </a:rPr>
                              <m:t>𝑘</m:t>
                            </m:r>
                          </m:num>
                          <m:den>
                            <m:r>
                              <a:rPr lang="de-DE" sz="2400" i="1">
                                <a:latin typeface="Cambria Math" panose="02040503050406030204" pitchFamily="18" charset="0"/>
                              </a:rPr>
                              <m:t>𝑑</m:t>
                            </m:r>
                          </m:den>
                        </m:f>
                        <m:r>
                          <a:rPr lang="de-DE" sz="2400" i="1">
                            <a:latin typeface="Cambria Math" panose="02040503050406030204" pitchFamily="18" charset="0"/>
                          </a:rPr>
                          <m:t>⋅0,269</m:t>
                        </m:r>
                      </m:e>
                    </m:d>
                  </m:oMath>
                </m:oMathPara>
              </a14:m>
              <a:endParaRPr lang="de-DE" sz="2000"/>
            </a:p>
          </xdr:txBody>
        </xdr:sp>
      </mc:Choice>
      <mc:Fallback xmlns="">
        <xdr:sp macro="" textlink="">
          <xdr:nvSpPr>
            <xdr:cNvPr id="2" name="Textfeld 1"/>
            <xdr:cNvSpPr txBox="1"/>
          </xdr:nvSpPr>
          <xdr:spPr>
            <a:xfrm>
              <a:off x="1524000" y="23622000"/>
              <a:ext cx="4261872" cy="841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e-DE" sz="2400" i="0">
                  <a:latin typeface="Cambria Math" panose="02040503050406030204" pitchFamily="18" charset="0"/>
                </a:rPr>
                <a:t>1/√𝜆=−2𝑙𝑔[2,51/(𝑅_𝑒⋅√𝜆)+𝑘/𝑑⋅0,269]</a:t>
              </a:r>
              <a:endParaRPr lang="de-DE" sz="2000"/>
            </a:p>
          </xdr:txBody>
        </xdr:sp>
      </mc:Fallback>
    </mc:AlternateContent>
    <xdr:clientData/>
  </xdr:oneCellAnchor>
  <xdr:oneCellAnchor>
    <xdr:from>
      <xdr:col>2</xdr:col>
      <xdr:colOff>0</xdr:colOff>
      <xdr:row>155</xdr:row>
      <xdr:rowOff>0</xdr:rowOff>
    </xdr:from>
    <xdr:ext cx="1895475" cy="933589"/>
    <mc:AlternateContent xmlns:mc="http://schemas.openxmlformats.org/markup-compatibility/2006" xmlns:a14="http://schemas.microsoft.com/office/drawing/2010/main">
      <mc:Choice Requires="a14">
        <xdr:sp macro="" textlink="">
          <xdr:nvSpPr>
            <xdr:cNvPr id="4" name="Textfeld 3"/>
            <xdr:cNvSpPr txBox="1"/>
          </xdr:nvSpPr>
          <xdr:spPr>
            <a:xfrm>
              <a:off x="1524000" y="24765000"/>
              <a:ext cx="1895475" cy="933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de-DE" sz="3200" i="1">
                        <a:latin typeface="Cambria Math" panose="02040503050406030204" pitchFamily="18" charset="0"/>
                      </a:rPr>
                      <m:t>𝑅</m:t>
                    </m:r>
                    <m:r>
                      <a:rPr lang="de-DE" sz="3200" i="1">
                        <a:latin typeface="Cambria Math" panose="02040503050406030204" pitchFamily="18" charset="0"/>
                      </a:rPr>
                      <m:t>ⅇ=</m:t>
                    </m:r>
                    <m:f>
                      <m:fPr>
                        <m:ctrlPr>
                          <a:rPr lang="de-DE" sz="3200" i="1">
                            <a:latin typeface="Cambria Math" panose="02040503050406030204" pitchFamily="18" charset="0"/>
                          </a:rPr>
                        </m:ctrlPr>
                      </m:fPr>
                      <m:num>
                        <m:r>
                          <a:rPr lang="de-DE" sz="3200" b="0" i="1">
                            <a:latin typeface="Cambria Math" panose="02040503050406030204" pitchFamily="18" charset="0"/>
                          </a:rPr>
                          <m:t>𝑣</m:t>
                        </m:r>
                        <m:r>
                          <a:rPr lang="de-DE" sz="3200" i="1">
                            <a:latin typeface="Cambria Math" panose="02040503050406030204" pitchFamily="18" charset="0"/>
                          </a:rPr>
                          <m:t>⋅</m:t>
                        </m:r>
                        <m:r>
                          <a:rPr lang="de-DE" sz="3200" b="0" i="1">
                            <a:latin typeface="Cambria Math" panose="02040503050406030204" pitchFamily="18" charset="0"/>
                          </a:rPr>
                          <m:t>𝑑</m:t>
                        </m:r>
                      </m:num>
                      <m:den>
                        <m:r>
                          <a:rPr lang="de-DE" sz="3200" i="1">
                            <a:latin typeface="Cambria Math" panose="02040503050406030204" pitchFamily="18" charset="0"/>
                            <a:ea typeface="Cambria Math" panose="02040503050406030204" pitchFamily="18" charset="0"/>
                          </a:rPr>
                          <m:t>𝜈</m:t>
                        </m:r>
                      </m:den>
                    </m:f>
                  </m:oMath>
                </m:oMathPara>
              </a14:m>
              <a:endParaRPr lang="de-DE" sz="3200"/>
            </a:p>
          </xdr:txBody>
        </xdr:sp>
      </mc:Choice>
      <mc:Fallback xmlns="">
        <xdr:sp macro="" textlink="">
          <xdr:nvSpPr>
            <xdr:cNvPr id="4" name="Textfeld 3"/>
            <xdr:cNvSpPr txBox="1"/>
          </xdr:nvSpPr>
          <xdr:spPr>
            <a:xfrm>
              <a:off x="1524000" y="24765000"/>
              <a:ext cx="1895475" cy="933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DE" sz="3200" i="0">
                  <a:latin typeface="Cambria Math" panose="02040503050406030204" pitchFamily="18" charset="0"/>
                </a:rPr>
                <a:t>𝑅ⅇ=(</a:t>
              </a:r>
              <a:r>
                <a:rPr lang="de-DE" sz="3200" b="0" i="0">
                  <a:latin typeface="Cambria Math" panose="02040503050406030204" pitchFamily="18" charset="0"/>
                </a:rPr>
                <a:t>𝑣</a:t>
              </a:r>
              <a:r>
                <a:rPr lang="de-DE" sz="3200" i="0">
                  <a:latin typeface="Cambria Math" panose="02040503050406030204" pitchFamily="18" charset="0"/>
                </a:rPr>
                <a:t>⋅</a:t>
              </a:r>
              <a:r>
                <a:rPr lang="de-DE" sz="3200" b="0" i="0">
                  <a:latin typeface="Cambria Math" panose="02040503050406030204" pitchFamily="18" charset="0"/>
                </a:rPr>
                <a:t>𝑑)/</a:t>
              </a:r>
              <a:r>
                <a:rPr lang="de-DE" sz="3200" i="0">
                  <a:latin typeface="Cambria Math" panose="02040503050406030204" pitchFamily="18" charset="0"/>
                  <a:ea typeface="Cambria Math" panose="02040503050406030204" pitchFamily="18" charset="0"/>
                </a:rPr>
                <a:t>𝜈</a:t>
              </a:r>
              <a:endParaRPr lang="de-DE" sz="3200"/>
            </a:p>
          </xdr:txBody>
        </xdr:sp>
      </mc:Fallback>
    </mc:AlternateContent>
    <xdr:clientData/>
  </xdr:oneCellAnchor>
  <xdr:twoCellAnchor editAs="oneCell">
    <xdr:from>
      <xdr:col>12</xdr:col>
      <xdr:colOff>47625</xdr:colOff>
      <xdr:row>123</xdr:row>
      <xdr:rowOff>9525</xdr:rowOff>
    </xdr:from>
    <xdr:to>
      <xdr:col>18</xdr:col>
      <xdr:colOff>656512</xdr:colOff>
      <xdr:row>140</xdr:row>
      <xdr:rowOff>76798</xdr:rowOff>
    </xdr:to>
    <xdr:pic>
      <xdr:nvPicPr>
        <xdr:cNvPr id="3" name="Grafik 2"/>
        <xdr:cNvPicPr>
          <a:picLocks noChangeAspect="1"/>
        </xdr:cNvPicPr>
      </xdr:nvPicPr>
      <xdr:blipFill>
        <a:blip xmlns:r="http://schemas.openxmlformats.org/officeDocument/2006/relationships" r:embed="rId1"/>
        <a:stretch>
          <a:fillRect/>
        </a:stretch>
      </xdr:blipFill>
      <xdr:spPr>
        <a:xfrm>
          <a:off x="13611225" y="18678525"/>
          <a:ext cx="5609512" cy="3305773"/>
        </a:xfrm>
        <a:prstGeom prst="rect">
          <a:avLst/>
        </a:prstGeom>
      </xdr:spPr>
    </xdr:pic>
    <xdr:clientData/>
  </xdr:twoCellAnchor>
  <xdr:twoCellAnchor editAs="oneCell">
    <xdr:from>
      <xdr:col>6</xdr:col>
      <xdr:colOff>47624</xdr:colOff>
      <xdr:row>142</xdr:row>
      <xdr:rowOff>44499</xdr:rowOff>
    </xdr:from>
    <xdr:to>
      <xdr:col>11</xdr:col>
      <xdr:colOff>475473</xdr:colOff>
      <xdr:row>153</xdr:row>
      <xdr:rowOff>9265</xdr:rowOff>
    </xdr:to>
    <xdr:pic>
      <xdr:nvPicPr>
        <xdr:cNvPr id="6" name="Grafik 5"/>
        <xdr:cNvPicPr>
          <a:picLocks noChangeAspect="1"/>
        </xdr:cNvPicPr>
      </xdr:nvPicPr>
      <xdr:blipFill>
        <a:blip xmlns:r="http://schemas.openxmlformats.org/officeDocument/2006/relationships" r:embed="rId2"/>
        <a:stretch>
          <a:fillRect/>
        </a:stretch>
      </xdr:blipFill>
      <xdr:spPr>
        <a:xfrm>
          <a:off x="6162674" y="22332999"/>
          <a:ext cx="6161899" cy="2060266"/>
        </a:xfrm>
        <a:prstGeom prst="rect">
          <a:avLst/>
        </a:prstGeom>
      </xdr:spPr>
    </xdr:pic>
    <xdr:clientData/>
  </xdr:twoCellAnchor>
  <xdr:twoCellAnchor editAs="oneCell">
    <xdr:from>
      <xdr:col>5</xdr:col>
      <xdr:colOff>742950</xdr:colOff>
      <xdr:row>156</xdr:row>
      <xdr:rowOff>142875</xdr:rowOff>
    </xdr:from>
    <xdr:to>
      <xdr:col>11</xdr:col>
      <xdr:colOff>466373</xdr:colOff>
      <xdr:row>187</xdr:row>
      <xdr:rowOff>8758</xdr:rowOff>
    </xdr:to>
    <xdr:pic>
      <xdr:nvPicPr>
        <xdr:cNvPr id="7" name="Grafik 6"/>
        <xdr:cNvPicPr>
          <a:picLocks noChangeAspect="1"/>
        </xdr:cNvPicPr>
      </xdr:nvPicPr>
      <xdr:blipFill>
        <a:blip xmlns:r="http://schemas.openxmlformats.org/officeDocument/2006/relationships" r:embed="rId3"/>
        <a:stretch>
          <a:fillRect/>
        </a:stretch>
      </xdr:blipFill>
      <xdr:spPr>
        <a:xfrm>
          <a:off x="6096000" y="25098375"/>
          <a:ext cx="6219472" cy="5771383"/>
        </a:xfrm>
        <a:prstGeom prst="rect">
          <a:avLst/>
        </a:prstGeom>
      </xdr:spPr>
    </xdr:pic>
    <xdr:clientData/>
  </xdr:twoCellAnchor>
  <xdr:twoCellAnchor editAs="oneCell">
    <xdr:from>
      <xdr:col>14</xdr:col>
      <xdr:colOff>28575</xdr:colOff>
      <xdr:row>140</xdr:row>
      <xdr:rowOff>161925</xdr:rowOff>
    </xdr:from>
    <xdr:to>
      <xdr:col>18</xdr:col>
      <xdr:colOff>342456</xdr:colOff>
      <xdr:row>148</xdr:row>
      <xdr:rowOff>104592</xdr:rowOff>
    </xdr:to>
    <xdr:pic>
      <xdr:nvPicPr>
        <xdr:cNvPr id="5" name="Grafik 4"/>
        <xdr:cNvPicPr>
          <a:picLocks noChangeAspect="1"/>
        </xdr:cNvPicPr>
      </xdr:nvPicPr>
      <xdr:blipFill>
        <a:blip xmlns:r="http://schemas.openxmlformats.org/officeDocument/2006/relationships" r:embed="rId4"/>
        <a:stretch>
          <a:fillRect/>
        </a:stretch>
      </xdr:blipFill>
      <xdr:spPr>
        <a:xfrm>
          <a:off x="14849475" y="22259925"/>
          <a:ext cx="3552381" cy="146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761999</xdr:colOff>
      <xdr:row>5</xdr:row>
      <xdr:rowOff>189910</xdr:rowOff>
    </xdr:from>
    <xdr:to>
      <xdr:col>9</xdr:col>
      <xdr:colOff>381000</xdr:colOff>
      <xdr:row>24</xdr:row>
      <xdr:rowOff>174696</xdr:rowOff>
    </xdr:to>
    <xdr:pic>
      <xdr:nvPicPr>
        <xdr:cNvPr id="2" name="Grafik 1"/>
        <xdr:cNvPicPr>
          <a:picLocks noChangeAspect="1"/>
        </xdr:cNvPicPr>
      </xdr:nvPicPr>
      <xdr:blipFill>
        <a:blip xmlns:r="http://schemas.openxmlformats.org/officeDocument/2006/relationships" r:embed="rId1"/>
        <a:stretch>
          <a:fillRect/>
        </a:stretch>
      </xdr:blipFill>
      <xdr:spPr>
        <a:xfrm>
          <a:off x="1523999" y="1142410"/>
          <a:ext cx="5715001" cy="4004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352425</xdr:colOff>
      <xdr:row>32</xdr:row>
      <xdr:rowOff>180975</xdr:rowOff>
    </xdr:from>
    <xdr:to>
      <xdr:col>9</xdr:col>
      <xdr:colOff>361950</xdr:colOff>
      <xdr:row>38</xdr:row>
      <xdr:rowOff>104775</xdr:rowOff>
    </xdr:to>
    <xdr:sp macro="" textlink="">
      <xdr:nvSpPr>
        <xdr:cNvPr id="7" name="Ellipse 6"/>
        <xdr:cNvSpPr/>
      </xdr:nvSpPr>
      <xdr:spPr>
        <a:xfrm>
          <a:off x="6353175" y="6276975"/>
          <a:ext cx="2295525" cy="10668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editAs="oneCell">
    <xdr:from>
      <xdr:col>7</xdr:col>
      <xdr:colOff>38100</xdr:colOff>
      <xdr:row>2</xdr:row>
      <xdr:rowOff>85725</xdr:rowOff>
    </xdr:from>
    <xdr:to>
      <xdr:col>12</xdr:col>
      <xdr:colOff>494767</xdr:colOff>
      <xdr:row>29</xdr:row>
      <xdr:rowOff>104130</xdr:rowOff>
    </xdr:to>
    <xdr:pic>
      <xdr:nvPicPr>
        <xdr:cNvPr id="2" name="Grafik 1"/>
        <xdr:cNvPicPr>
          <a:picLocks noChangeAspect="1"/>
        </xdr:cNvPicPr>
      </xdr:nvPicPr>
      <xdr:blipFill>
        <a:blip xmlns:r="http://schemas.openxmlformats.org/officeDocument/2006/relationships" r:embed="rId1"/>
        <a:stretch>
          <a:fillRect/>
        </a:stretch>
      </xdr:blipFill>
      <xdr:spPr>
        <a:xfrm>
          <a:off x="5972175" y="466725"/>
          <a:ext cx="4266667" cy="5161905"/>
        </a:xfrm>
        <a:prstGeom prst="rect">
          <a:avLst/>
        </a:prstGeom>
      </xdr:spPr>
    </xdr:pic>
    <xdr:clientData/>
  </xdr:twoCellAnchor>
  <xdr:oneCellAnchor>
    <xdr:from>
      <xdr:col>6</xdr:col>
      <xdr:colOff>704850</xdr:colOff>
      <xdr:row>34</xdr:row>
      <xdr:rowOff>38100</xdr:rowOff>
    </xdr:from>
    <xdr:ext cx="1362075" cy="462627"/>
    <mc:AlternateContent xmlns:mc="http://schemas.openxmlformats.org/markup-compatibility/2006" xmlns:a14="http://schemas.microsoft.com/office/drawing/2010/main">
      <mc:Choice Requires="a14">
        <xdr:sp macro="" textlink="">
          <xdr:nvSpPr>
            <xdr:cNvPr id="4" name="Textfeld 3"/>
            <xdr:cNvSpPr txBox="1"/>
          </xdr:nvSpPr>
          <xdr:spPr>
            <a:xfrm>
              <a:off x="6705600" y="6324600"/>
              <a:ext cx="1362075" cy="462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600" i="1">
                            <a:latin typeface="Cambria Math" panose="02040503050406030204" pitchFamily="18" charset="0"/>
                          </a:rPr>
                        </m:ctrlPr>
                      </m:sSubPr>
                      <m:e>
                        <m:r>
                          <a:rPr lang="de-DE" sz="1600" b="0" i="1">
                            <a:latin typeface="Cambria Math" panose="02040503050406030204" pitchFamily="18" charset="0"/>
                          </a:rPr>
                          <m:t>𝑉</m:t>
                        </m:r>
                      </m:e>
                      <m:sub>
                        <m:r>
                          <a:rPr lang="de-DE" sz="1600" i="1">
                            <a:latin typeface="Cambria Math" panose="02040503050406030204" pitchFamily="18" charset="0"/>
                          </a:rPr>
                          <m:t>𝑁</m:t>
                        </m:r>
                      </m:sub>
                    </m:sSub>
                    <m:r>
                      <a:rPr lang="de-DE" sz="1600" i="1">
                        <a:latin typeface="Cambria Math" panose="02040503050406030204" pitchFamily="18" charset="0"/>
                      </a:rPr>
                      <m:t>=</m:t>
                    </m:r>
                    <m:f>
                      <m:fPr>
                        <m:ctrlPr>
                          <a:rPr lang="de-DE" sz="1600" i="1">
                            <a:latin typeface="Cambria Math" panose="02040503050406030204" pitchFamily="18" charset="0"/>
                          </a:rPr>
                        </m:ctrlPr>
                      </m:fPr>
                      <m:num>
                        <m:sSub>
                          <m:sSubPr>
                            <m:ctrlPr>
                              <a:rPr lang="de-DE" sz="1600" i="1">
                                <a:latin typeface="Cambria Math" panose="02040503050406030204" pitchFamily="18" charset="0"/>
                              </a:rPr>
                            </m:ctrlPr>
                          </m:sSubPr>
                          <m:e>
                            <m:r>
                              <a:rPr lang="de-DE" sz="1600" i="1">
                                <a:latin typeface="Cambria Math" panose="02040503050406030204" pitchFamily="18" charset="0"/>
                              </a:rPr>
                              <m:t>𝑄</m:t>
                            </m:r>
                          </m:e>
                          <m:sub>
                            <m:r>
                              <a:rPr lang="de-DE" sz="1600" i="1">
                                <a:latin typeface="Cambria Math" panose="02040503050406030204" pitchFamily="18" charset="0"/>
                              </a:rPr>
                              <m:t>𝑃</m:t>
                            </m:r>
                          </m:sub>
                        </m:sSub>
                      </m:num>
                      <m:den>
                        <m:r>
                          <a:rPr lang="de-DE" sz="1600" b="0" i="1">
                            <a:latin typeface="Cambria Math" panose="02040503050406030204" pitchFamily="18" charset="0"/>
                          </a:rPr>
                          <m:t>4</m:t>
                        </m:r>
                        <m:r>
                          <a:rPr lang="de-DE" sz="1600" i="1">
                            <a:latin typeface="Cambria Math" panose="02040503050406030204" pitchFamily="18" charset="0"/>
                          </a:rPr>
                          <m:t>⋅</m:t>
                        </m:r>
                        <m:r>
                          <a:rPr lang="de-DE" sz="1600" b="0" i="1">
                            <a:latin typeface="Cambria Math" panose="02040503050406030204" pitchFamily="18" charset="0"/>
                          </a:rPr>
                          <m:t>𝑧</m:t>
                        </m:r>
                        <m:r>
                          <a:rPr lang="de-DE" sz="1600" i="1">
                            <a:solidFill>
                              <a:schemeClr val="tx1"/>
                            </a:solidFill>
                            <a:effectLst/>
                            <a:latin typeface="Cambria Math" panose="02040503050406030204" pitchFamily="18" charset="0"/>
                            <a:ea typeface="+mn-ea"/>
                            <a:cs typeface="+mn-cs"/>
                          </a:rPr>
                          <m:t>⋅</m:t>
                        </m:r>
                        <m:r>
                          <a:rPr lang="de-DE" sz="1600" b="0" i="1">
                            <a:solidFill>
                              <a:schemeClr val="tx1"/>
                            </a:solidFill>
                            <a:effectLst/>
                            <a:latin typeface="Cambria Math" panose="02040503050406030204" pitchFamily="18" charset="0"/>
                            <a:ea typeface="+mn-ea"/>
                            <a:cs typeface="+mn-cs"/>
                          </a:rPr>
                          <m:t>𝑛</m:t>
                        </m:r>
                      </m:den>
                    </m:f>
                  </m:oMath>
                </m:oMathPara>
              </a14:m>
              <a:endParaRPr lang="de-DE" sz="1600"/>
            </a:p>
          </xdr:txBody>
        </xdr:sp>
      </mc:Choice>
      <mc:Fallback xmlns="">
        <xdr:sp macro="" textlink="">
          <xdr:nvSpPr>
            <xdr:cNvPr id="4" name="Textfeld 3"/>
            <xdr:cNvSpPr txBox="1"/>
          </xdr:nvSpPr>
          <xdr:spPr>
            <a:xfrm>
              <a:off x="6705600" y="6324600"/>
              <a:ext cx="1362075" cy="4626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DE" sz="1600" b="0" i="0">
                  <a:latin typeface="Cambria Math" panose="02040503050406030204" pitchFamily="18" charset="0"/>
                </a:rPr>
                <a:t>𝑉_</a:t>
              </a:r>
              <a:r>
                <a:rPr lang="de-DE" sz="1600" i="0">
                  <a:latin typeface="Cambria Math" panose="02040503050406030204" pitchFamily="18" charset="0"/>
                </a:rPr>
                <a:t>𝑁=𝑄_𝑃/(</a:t>
              </a:r>
              <a:r>
                <a:rPr lang="de-DE" sz="1600" b="0" i="0">
                  <a:latin typeface="Cambria Math" panose="02040503050406030204" pitchFamily="18" charset="0"/>
                </a:rPr>
                <a:t>4</a:t>
              </a:r>
              <a:r>
                <a:rPr lang="de-DE" sz="1600" i="0">
                  <a:latin typeface="Cambria Math" panose="02040503050406030204" pitchFamily="18" charset="0"/>
                </a:rPr>
                <a:t>⋅</a:t>
              </a:r>
              <a:r>
                <a:rPr lang="de-DE" sz="1600" b="0" i="0">
                  <a:latin typeface="Cambria Math" panose="02040503050406030204" pitchFamily="18" charset="0"/>
                </a:rPr>
                <a:t>𝑧</a:t>
              </a:r>
              <a:r>
                <a:rPr lang="de-DE" sz="1600" i="0">
                  <a:solidFill>
                    <a:schemeClr val="tx1"/>
                  </a:solidFill>
                  <a:effectLst/>
                  <a:latin typeface="Cambria Math" panose="02040503050406030204" pitchFamily="18" charset="0"/>
                  <a:ea typeface="+mn-ea"/>
                  <a:cs typeface="+mn-cs"/>
                </a:rPr>
                <a:t>⋅</a:t>
              </a:r>
              <a:r>
                <a:rPr lang="de-DE" sz="1600" b="0" i="0">
                  <a:solidFill>
                    <a:schemeClr val="tx1"/>
                  </a:solidFill>
                  <a:effectLst/>
                  <a:latin typeface="Cambria Math" panose="02040503050406030204" pitchFamily="18" charset="0"/>
                  <a:ea typeface="+mn-ea"/>
                  <a:cs typeface="+mn-cs"/>
                </a:rPr>
                <a:t>𝑛)</a:t>
              </a:r>
              <a:endParaRPr lang="de-DE" sz="1600"/>
            </a:p>
          </xdr:txBody>
        </xdr:sp>
      </mc:Fallback>
    </mc:AlternateContent>
    <xdr:clientData/>
  </xdr:oneCellAnchor>
  <xdr:oneCellAnchor>
    <xdr:from>
      <xdr:col>3</xdr:col>
      <xdr:colOff>495300</xdr:colOff>
      <xdr:row>34</xdr:row>
      <xdr:rowOff>47625</xdr:rowOff>
    </xdr:from>
    <xdr:ext cx="2409825" cy="518155"/>
    <mc:AlternateContent xmlns:mc="http://schemas.openxmlformats.org/markup-compatibility/2006" xmlns:a14="http://schemas.microsoft.com/office/drawing/2010/main">
      <mc:Choice Requires="a14">
        <xdr:sp macro="" textlink="">
          <xdr:nvSpPr>
            <xdr:cNvPr id="6" name="Textfeld 5"/>
            <xdr:cNvSpPr txBox="1"/>
          </xdr:nvSpPr>
          <xdr:spPr>
            <a:xfrm>
              <a:off x="3486150" y="6334125"/>
              <a:ext cx="2409825" cy="518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e-DE" sz="1600" i="1">
                            <a:latin typeface="Cambria Math" panose="02040503050406030204" pitchFamily="18" charset="0"/>
                          </a:rPr>
                        </m:ctrlPr>
                      </m:sSubPr>
                      <m:e>
                        <m:r>
                          <a:rPr lang="de-DE" sz="1600" b="0" i="1">
                            <a:latin typeface="Cambria Math" panose="02040503050406030204" pitchFamily="18" charset="0"/>
                          </a:rPr>
                          <m:t>𝑉</m:t>
                        </m:r>
                      </m:e>
                      <m:sub>
                        <m:r>
                          <a:rPr lang="de-DE" sz="1600" i="1">
                            <a:latin typeface="Cambria Math" panose="02040503050406030204" pitchFamily="18" charset="0"/>
                          </a:rPr>
                          <m:t>𝑁</m:t>
                        </m:r>
                      </m:sub>
                    </m:sSub>
                    <m:r>
                      <a:rPr lang="de-DE" sz="1600" i="1">
                        <a:latin typeface="Cambria Math" panose="02040503050406030204" pitchFamily="18" charset="0"/>
                      </a:rPr>
                      <m:t>=</m:t>
                    </m:r>
                    <m:f>
                      <m:fPr>
                        <m:ctrlPr>
                          <a:rPr lang="de-DE" sz="1600" i="1">
                            <a:latin typeface="Cambria Math" panose="02040503050406030204" pitchFamily="18" charset="0"/>
                          </a:rPr>
                        </m:ctrlPr>
                      </m:fPr>
                      <m:num>
                        <m:r>
                          <a:rPr lang="de-DE" sz="1600" b="0" i="1">
                            <a:latin typeface="Cambria Math" panose="02040503050406030204" pitchFamily="18" charset="0"/>
                          </a:rPr>
                          <m:t>𝑄</m:t>
                        </m:r>
                        <m:r>
                          <a:rPr lang="de-DE" sz="1600" b="0" i="1" baseline="-25000">
                            <a:latin typeface="Cambria Math" panose="02040503050406030204" pitchFamily="18" charset="0"/>
                          </a:rPr>
                          <m:t>𝑧𝑢</m:t>
                        </m:r>
                        <m:r>
                          <a:rPr lang="de-DE" sz="1600" i="1">
                            <a:latin typeface="Cambria Math" panose="02040503050406030204" pitchFamily="18" charset="0"/>
                          </a:rPr>
                          <m:t>⋅</m:t>
                        </m:r>
                        <m:d>
                          <m:dPr>
                            <m:ctrlPr>
                              <a:rPr lang="de-DE" sz="1600" i="1">
                                <a:latin typeface="Cambria Math" panose="02040503050406030204" pitchFamily="18" charset="0"/>
                              </a:rPr>
                            </m:ctrlPr>
                          </m:dPr>
                          <m:e>
                            <m:sSub>
                              <m:sSubPr>
                                <m:ctrlPr>
                                  <a:rPr lang="de-DE" sz="1600" i="1">
                                    <a:latin typeface="Cambria Math" panose="02040503050406030204" pitchFamily="18" charset="0"/>
                                  </a:rPr>
                                </m:ctrlPr>
                              </m:sSubPr>
                              <m:e>
                                <m:r>
                                  <a:rPr lang="de-DE" sz="1600" i="1">
                                    <a:latin typeface="Cambria Math" panose="02040503050406030204" pitchFamily="18" charset="0"/>
                                  </a:rPr>
                                  <m:t>𝑄</m:t>
                                </m:r>
                              </m:e>
                              <m:sub>
                                <m:r>
                                  <a:rPr lang="de-DE" sz="1600" i="1">
                                    <a:latin typeface="Cambria Math" panose="02040503050406030204" pitchFamily="18" charset="0"/>
                                  </a:rPr>
                                  <m:t>𝑃</m:t>
                                </m:r>
                              </m:sub>
                            </m:sSub>
                            <m:r>
                              <a:rPr lang="de-DE" sz="1600" i="1">
                                <a:latin typeface="Cambria Math" panose="02040503050406030204" pitchFamily="18" charset="0"/>
                              </a:rPr>
                              <m:t>−</m:t>
                            </m:r>
                            <m:sSub>
                              <m:sSubPr>
                                <m:ctrlPr>
                                  <a:rPr lang="de-DE" sz="1600" i="1">
                                    <a:latin typeface="Cambria Math" panose="02040503050406030204" pitchFamily="18" charset="0"/>
                                  </a:rPr>
                                </m:ctrlPr>
                              </m:sSubPr>
                              <m:e>
                                <m:r>
                                  <a:rPr lang="de-DE" sz="1600" i="1">
                                    <a:latin typeface="Cambria Math" panose="02040503050406030204" pitchFamily="18" charset="0"/>
                                  </a:rPr>
                                  <m:t>𝑄</m:t>
                                </m:r>
                              </m:e>
                              <m:sub>
                                <m:r>
                                  <a:rPr lang="de-DE" sz="1600" i="1">
                                    <a:latin typeface="Cambria Math" panose="02040503050406030204" pitchFamily="18" charset="0"/>
                                  </a:rPr>
                                  <m:t>𝑧</m:t>
                                </m:r>
                                <m:r>
                                  <a:rPr lang="de-DE" sz="1600" b="0" i="1">
                                    <a:latin typeface="Cambria Math" panose="02040503050406030204" pitchFamily="18" charset="0"/>
                                  </a:rPr>
                                  <m:t>𝑢</m:t>
                                </m:r>
                              </m:sub>
                            </m:sSub>
                          </m:e>
                        </m:d>
                      </m:num>
                      <m:den>
                        <m:sSub>
                          <m:sSubPr>
                            <m:ctrlPr>
                              <a:rPr lang="de-DE" sz="1600" i="1">
                                <a:latin typeface="Cambria Math" panose="02040503050406030204" pitchFamily="18" charset="0"/>
                              </a:rPr>
                            </m:ctrlPr>
                          </m:sSubPr>
                          <m:e>
                            <m:r>
                              <a:rPr lang="de-DE" sz="1600" i="1">
                                <a:latin typeface="Cambria Math" panose="02040503050406030204" pitchFamily="18" charset="0"/>
                              </a:rPr>
                              <m:t>𝑄</m:t>
                            </m:r>
                          </m:e>
                          <m:sub>
                            <m:r>
                              <a:rPr lang="de-DE" sz="1600" i="1">
                                <a:latin typeface="Cambria Math" panose="02040503050406030204" pitchFamily="18" charset="0"/>
                              </a:rPr>
                              <m:t>𝑃</m:t>
                            </m:r>
                          </m:sub>
                        </m:sSub>
                        <m:r>
                          <a:rPr lang="de-DE" sz="1600" i="1">
                            <a:latin typeface="Cambria Math" panose="02040503050406030204" pitchFamily="18" charset="0"/>
                          </a:rPr>
                          <m:t>⋅</m:t>
                        </m:r>
                        <m:r>
                          <a:rPr lang="de-DE" sz="1600" i="1">
                            <a:latin typeface="Cambria Math" panose="02040503050406030204" pitchFamily="18" charset="0"/>
                          </a:rPr>
                          <m:t>𝑧</m:t>
                        </m:r>
                        <m:r>
                          <a:rPr lang="de-DE" sz="1600" b="0" i="1">
                            <a:latin typeface="Cambria Math" panose="02040503050406030204" pitchFamily="18" charset="0"/>
                          </a:rPr>
                          <m:t> </m:t>
                        </m:r>
                        <m:r>
                          <a:rPr lang="de-DE" sz="1600" i="1">
                            <a:solidFill>
                              <a:schemeClr val="tx1"/>
                            </a:solidFill>
                            <a:effectLst/>
                            <a:latin typeface="Cambria Math" panose="02040503050406030204" pitchFamily="18" charset="0"/>
                            <a:ea typeface="+mn-ea"/>
                            <a:cs typeface="+mn-cs"/>
                          </a:rPr>
                          <m:t>⋅</m:t>
                        </m:r>
                        <m:r>
                          <a:rPr lang="de-DE" sz="1600" b="0" i="1">
                            <a:solidFill>
                              <a:schemeClr val="tx1"/>
                            </a:solidFill>
                            <a:effectLst/>
                            <a:latin typeface="Cambria Math" panose="02040503050406030204" pitchFamily="18" charset="0"/>
                            <a:ea typeface="+mn-ea"/>
                            <a:cs typeface="+mn-cs"/>
                          </a:rPr>
                          <m:t>𝑛</m:t>
                        </m:r>
                      </m:den>
                    </m:f>
                  </m:oMath>
                </m:oMathPara>
              </a14:m>
              <a:endParaRPr lang="de-DE" sz="700"/>
            </a:p>
          </xdr:txBody>
        </xdr:sp>
      </mc:Choice>
      <mc:Fallback xmlns="">
        <xdr:sp macro="" textlink="">
          <xdr:nvSpPr>
            <xdr:cNvPr id="6" name="Textfeld 5"/>
            <xdr:cNvSpPr txBox="1"/>
          </xdr:nvSpPr>
          <xdr:spPr>
            <a:xfrm>
              <a:off x="3486150" y="6334125"/>
              <a:ext cx="2409825" cy="518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e-DE" sz="1600" b="0" i="0">
                  <a:latin typeface="Cambria Math" panose="02040503050406030204" pitchFamily="18" charset="0"/>
                </a:rPr>
                <a:t>𝑉_</a:t>
              </a:r>
              <a:r>
                <a:rPr lang="de-DE" sz="1600" i="0">
                  <a:latin typeface="Cambria Math" panose="02040503050406030204" pitchFamily="18" charset="0"/>
                </a:rPr>
                <a:t>𝑁=(</a:t>
              </a:r>
              <a:r>
                <a:rPr lang="de-DE" sz="1600" b="0" i="0">
                  <a:latin typeface="Cambria Math" panose="02040503050406030204" pitchFamily="18" charset="0"/>
                </a:rPr>
                <a:t>𝑄</a:t>
              </a:r>
              <a:r>
                <a:rPr lang="de-DE" sz="1600" b="0" i="0" baseline="-25000">
                  <a:latin typeface="Cambria Math" panose="02040503050406030204" pitchFamily="18" charset="0"/>
                </a:rPr>
                <a:t>𝑧𝑢</a:t>
              </a:r>
              <a:r>
                <a:rPr lang="de-DE" sz="1600" i="0">
                  <a:latin typeface="Cambria Math" panose="02040503050406030204" pitchFamily="18" charset="0"/>
                </a:rPr>
                <a:t>⋅(𝑄_𝑃−𝑄_𝑧</a:t>
              </a:r>
              <a:r>
                <a:rPr lang="de-DE" sz="1600" b="0" i="0">
                  <a:latin typeface="Cambria Math" panose="02040503050406030204" pitchFamily="18" charset="0"/>
                </a:rPr>
                <a:t>𝑢 ))/(</a:t>
              </a:r>
              <a:r>
                <a:rPr lang="de-DE" sz="1600" i="0">
                  <a:latin typeface="Cambria Math" panose="02040503050406030204" pitchFamily="18" charset="0"/>
                </a:rPr>
                <a:t>𝑄_𝑃⋅𝑧</a:t>
              </a:r>
              <a:r>
                <a:rPr lang="de-DE" sz="1600" b="0" i="0">
                  <a:latin typeface="Cambria Math" panose="02040503050406030204" pitchFamily="18" charset="0"/>
                </a:rPr>
                <a:t> </a:t>
              </a:r>
              <a:r>
                <a:rPr lang="de-DE" sz="1600" i="0">
                  <a:solidFill>
                    <a:schemeClr val="tx1"/>
                  </a:solidFill>
                  <a:effectLst/>
                  <a:latin typeface="Cambria Math" panose="02040503050406030204" pitchFamily="18" charset="0"/>
                  <a:ea typeface="+mn-ea"/>
                  <a:cs typeface="+mn-cs"/>
                </a:rPr>
                <a:t>⋅</a:t>
              </a:r>
              <a:r>
                <a:rPr lang="de-DE" sz="1600" b="0" i="0">
                  <a:solidFill>
                    <a:schemeClr val="tx1"/>
                  </a:solidFill>
                  <a:effectLst/>
                  <a:latin typeface="Cambria Math" panose="02040503050406030204" pitchFamily="18" charset="0"/>
                  <a:ea typeface="+mn-ea"/>
                  <a:cs typeface="+mn-cs"/>
                </a:rPr>
                <a:t>𝑛)</a:t>
              </a:r>
              <a:endParaRPr lang="de-DE" sz="700"/>
            </a:p>
          </xdr:txBody>
        </xdr:sp>
      </mc:Fallback>
    </mc:AlternateContent>
    <xdr:clientData/>
  </xdr:oneCellAnchor>
  <xdr:twoCellAnchor>
    <xdr:from>
      <xdr:col>4</xdr:col>
      <xdr:colOff>0</xdr:colOff>
      <xdr:row>46</xdr:row>
      <xdr:rowOff>0</xdr:rowOff>
    </xdr:from>
    <xdr:to>
      <xdr:col>7</xdr:col>
      <xdr:colOff>653657</xdr:colOff>
      <xdr:row>68</xdr:row>
      <xdr:rowOff>87828</xdr:rowOff>
    </xdr:to>
    <xdr:pic>
      <xdr:nvPicPr>
        <xdr:cNvPr id="10" name="Grafik 9"/>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580" t="28202"/>
        <a:stretch/>
      </xdr:blipFill>
      <xdr:spPr>
        <a:xfrm>
          <a:off x="3752850" y="8763000"/>
          <a:ext cx="3663557" cy="42788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tibchr\Desktop\2023-04-17-Entw&#228;sserung-komp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cht"/>
      <sheetName val="Q_Schmutzwasser"/>
      <sheetName val="Q_Regenwasser"/>
      <sheetName val="H_Förderhöhe-Hebeanlagen"/>
      <sheetName val="Bilder"/>
      <sheetName val="Kennlinien-Fäkalienhebeanlage"/>
      <sheetName val="Prüfung-Zulauf-Hebeanlagen"/>
      <sheetName val="Schachtberechnung"/>
      <sheetName val="Daten-Druckv."/>
      <sheetName val="Cs+Cm"/>
      <sheetName val="Daten_Hebeanlagen"/>
      <sheetName val="Schmutzwasser-Q"/>
      <sheetName val="Regenwasser-Q"/>
      <sheetName val="Städte"/>
      <sheetName val="Tabelle1"/>
      <sheetName val="2023-04-17-Entwässerung-kompl"/>
    </sheetNames>
    <sheetDataSet>
      <sheetData sheetId="0"/>
      <sheetData sheetId="1"/>
      <sheetData sheetId="2"/>
      <sheetData sheetId="3">
        <row r="70">
          <cell r="I70" t="str">
            <v>U1</v>
          </cell>
        </row>
      </sheetData>
      <sheetData sheetId="4"/>
      <sheetData sheetId="5">
        <row r="4">
          <cell r="A4">
            <v>0</v>
          </cell>
        </row>
      </sheetData>
      <sheetData sheetId="6"/>
      <sheetData sheetId="7"/>
      <sheetData sheetId="8">
        <row r="9">
          <cell r="G9" t="str">
            <v>DN10</v>
          </cell>
        </row>
      </sheetData>
      <sheetData sheetId="9"/>
      <sheetData sheetId="10">
        <row r="9">
          <cell r="D9" t="str">
            <v>US1</v>
          </cell>
        </row>
      </sheetData>
      <sheetData sheetId="11"/>
      <sheetData sheetId="12"/>
      <sheetData sheetId="13"/>
      <sheetData sheetId="14"/>
      <sheetData sheetId="15"/>
    </sheetDataSet>
  </externalBook>
</externalLink>
</file>

<file path=xl/tables/table1.xml><?xml version="1.0" encoding="utf-8"?>
<table xmlns="http://schemas.openxmlformats.org/spreadsheetml/2006/main" id="1" name="Tabelle1" displayName="Tabelle1" ref="C2:Q102" totalsRowShown="0" headerRowDxfId="74" dataDxfId="73">
  <autoFilter ref="C2:Q102"/>
  <tableColumns count="15">
    <tableColumn id="1" name="Spalte1" dataDxfId="72"/>
    <tableColumn id="2" name="Diameter _x000a_[mm]" dataDxfId="71"/>
    <tableColumn id="3" name="Pipe material" dataDxfId="70"/>
    <tableColumn id="4" name="Outer-diameter_x000a_[mm]" dataDxfId="69"/>
    <tableColumn id="5" name="Wall thickness [mm]  " dataDxfId="68"/>
    <tableColumn id="6" name="Inside diameter [mm]" dataDxfId="67">
      <calculatedColumnFormula>F3-(2*G3)</calculatedColumnFormula>
    </tableColumn>
    <tableColumn id="7" name="Water content I_x000a_[I/m]" dataDxfId="66">
      <calculatedColumnFormula>0.785*((H3/1000)^2)*1000</calculatedColumnFormula>
    </tableColumn>
    <tableColumn id="8" name="Pipe roughness coefficient k" dataDxfId="65"/>
    <tableColumn id="9" name="k/d Waste water" dataDxfId="64">
      <calculatedColumnFormula>M3/H3</calculatedColumnFormula>
    </tableColumn>
    <tableColumn id="10" name="Cross section [m2]" dataDxfId="63">
      <calculatedColumnFormula>(0.785*((H3/1000)^2))</calculatedColumnFormula>
    </tableColumn>
    <tableColumn id="11" name="kb for waste water 0.25" dataDxfId="62"/>
    <tableColumn id="12" name="k/d " dataDxfId="61">
      <calculatedColumnFormula>Tabelle1[[#This Row],[Pipe roughness coefficient k]]/Tabelle1[[#This Row],[Inside diameter '[mm']]]</calculatedColumnFormula>
    </tableColumn>
    <tableColumn id="14" name="Height of bend 3*D [mm]" dataDxfId="60">
      <calculatedColumnFormula>(Tabelle1[[#This Row],[Wall thickness '[mm']  ]]+Tabelle1[[#This Row],[Inside diameter '[mm']]])*2</calculatedColumnFormula>
    </tableColumn>
    <tableColumn id="13" name="Overall length of fittings gate valve &amp; non-return flap [mm]" dataDxfId="59">
      <calculatedColumnFormula>'7'!P8</calculatedColumnFormula>
    </tableColumn>
    <tableColumn id="15" name="Sum of bends and fittings [mm]" dataDxfId="58">
      <calculatedColumnFormula>Tabelle1[[#This Row],[Overall length of fittings gate valve &amp; non-return flap '[mm']]]+Tabelle1[[#This Row],[Height of bend 3*D '[mm']]]</calculatedColumnFormula>
    </tableColumn>
  </tableColumns>
  <tableStyleInfo name="TableStyleLight8" showFirstColumn="0" showLastColumn="0" showRowStripes="1" showColumnStripes="0"/>
</table>
</file>

<file path=xl/tables/table10.xml><?xml version="1.0" encoding="utf-8"?>
<table xmlns="http://schemas.openxmlformats.org/spreadsheetml/2006/main" id="9" name="Tabelle9" displayName="Tabelle9" ref="C8:C15" totalsRowShown="0" headerRowDxfId="19" dataDxfId="18">
  <autoFilter ref="C8:C15"/>
  <tableColumns count="1">
    <tableColumn id="1" name="Shaft dimensions [mm]" dataDxfId="17"/>
  </tableColumns>
  <tableStyleInfo name="TableStyleLight8" showFirstColumn="0" showLastColumn="0" showRowStripes="1" showColumnStripes="0"/>
</table>
</file>

<file path=xl/tables/table11.xml><?xml version="1.0" encoding="utf-8"?>
<table xmlns="http://schemas.openxmlformats.org/spreadsheetml/2006/main" id="29" name="Tabelle29" displayName="Tabelle29" ref="C17:D23" totalsRowShown="0" headerRowDxfId="16" dataDxfId="15">
  <autoFilter ref="C17:D23"/>
  <tableColumns count="2">
    <tableColumn id="1" name="Pump discharge nozzle" dataDxfId="14"/>
    <tableColumn id="2" name="[mm]" dataDxfId="13"/>
  </tableColumns>
  <tableStyleInfo name="TableStyleLight8" showFirstColumn="0" showLastColumn="0" showRowStripes="1" showColumnStripes="0"/>
</table>
</file>

<file path=xl/tables/table12.xml><?xml version="1.0" encoding="utf-8"?>
<table xmlns="http://schemas.openxmlformats.org/spreadsheetml/2006/main" id="10" name="Tabelle10" displayName="Tabelle10" ref="C27:C29" totalsRowShown="0" dataDxfId="12">
  <autoFilter ref="C27:C29"/>
  <tableColumns count="1">
    <tableColumn id="1" name="Spalte1" dataDxfId="11"/>
  </tableColumns>
  <tableStyleInfo name="TableStyleLight1" showFirstColumn="0" showLastColumn="0" showRowStripes="1" showColumnStripes="0"/>
</table>
</file>

<file path=xl/tables/table13.xml><?xml version="1.0" encoding="utf-8"?>
<table xmlns="http://schemas.openxmlformats.org/spreadsheetml/2006/main" id="3" name="Tabelle3" displayName="Tabelle3" ref="D5:G136" totalsRowShown="0" headerRowDxfId="10" headerRowBorderDxfId="9" tableBorderDxfId="8" totalsRowBorderDxfId="7">
  <autoFilter ref="D5:G136"/>
  <tableColumns count="4">
    <tableColumn id="1" name="t[°C]" dataDxfId="6"/>
    <tableColumn id="2" name="kg/m3" dataDxfId="5"/>
    <tableColumn id="3" name="m2/s" dataDxfId="4">
      <calculatedColumnFormula>G6*10^-6</calculatedColumnFormula>
    </tableColumn>
    <tableColumn id="4" name="mm2/s" dataDxfId="3"/>
  </tableColumns>
  <tableStyleInfo name="TableStyleLight8" showFirstColumn="0" showLastColumn="0" showRowStripes="1" showColumnStripes="0"/>
</table>
</file>

<file path=xl/tables/table14.xml><?xml version="1.0" encoding="utf-8"?>
<table xmlns="http://schemas.openxmlformats.org/spreadsheetml/2006/main" id="12" name="Tabelle12" displayName="Tabelle12" ref="C3:D8" totalsRowShown="0" headerRowDxfId="2">
  <autoFilter ref="C3:D8"/>
  <tableColumns count="2">
    <tableColumn id="1" name="Type of building and use" dataDxfId="1"/>
    <tableColumn id="2" name="K" dataDxfId="0"/>
  </tableColumns>
  <tableStyleInfo name="TableStyleLight8" showFirstColumn="0" showLastColumn="0" showRowStripes="1" showColumnStripes="0"/>
</table>
</file>

<file path=xl/tables/table2.xml><?xml version="1.0" encoding="utf-8"?>
<table xmlns="http://schemas.openxmlformats.org/spreadsheetml/2006/main" id="5" name="Tabelle5" displayName="Tabelle5" ref="C123:C130" totalsRowShown="0" headerRowDxfId="57" dataDxfId="56">
  <autoFilter ref="C123:C130"/>
  <tableColumns count="1">
    <tableColumn id="1" name="Spalte1" dataDxfId="55"/>
  </tableColumns>
  <tableStyleInfo name="TableStyleLight1" showFirstColumn="0" showLastColumn="0" showRowStripes="1" showColumnStripes="0"/>
</table>
</file>

<file path=xl/tables/table3.xml><?xml version="1.0" encoding="utf-8"?>
<table xmlns="http://schemas.openxmlformats.org/spreadsheetml/2006/main" id="7" name="Tabelle48" displayName="Tabelle48" ref="C133:C147" totalsRowShown="0" headerRowDxfId="54" dataDxfId="53">
  <autoFilter ref="C133:C147"/>
  <tableColumns count="1">
    <tableColumn id="1" name="Spalte1" dataDxfId="52"/>
  </tableColumns>
  <tableStyleInfo name="TableStyleLight1" showFirstColumn="0" showLastColumn="0" showRowStripes="1" showColumnStripes="0"/>
</table>
</file>

<file path=xl/tables/table4.xml><?xml version="1.0" encoding="utf-8"?>
<table xmlns="http://schemas.openxmlformats.org/spreadsheetml/2006/main" id="20" name="Tabelle20" displayName="Tabelle20" ref="M37:M41" totalsRowShown="0" headerRowDxfId="51" dataDxfId="50">
  <autoFilter ref="M37:M41"/>
  <tableColumns count="1">
    <tableColumn id="1" name="Spalte1" dataDxfId="49"/>
  </tableColumns>
  <tableStyleInfo name="TableStyleLight2" showFirstColumn="0" showLastColumn="0" showRowStripes="1" showColumnStripes="0"/>
</table>
</file>

<file path=xl/tables/table5.xml><?xml version="1.0" encoding="utf-8"?>
<table xmlns="http://schemas.openxmlformats.org/spreadsheetml/2006/main" id="30" name="Tabelle30" displayName="Tabelle30" ref="D8:H28" totalsRowShown="0" headerRowDxfId="48" dataDxfId="46" headerRowBorderDxfId="47" tableBorderDxfId="45" totalsRowBorderDxfId="44">
  <autoFilter ref="D8:H28"/>
  <tableColumns count="5">
    <tableColumn id="1" name="Spalte1" dataDxfId="43"/>
    <tableColumn id="2" name="Spalte2" dataDxfId="42"/>
    <tableColumn id="3" name="Spalte3" dataDxfId="41"/>
    <tableColumn id="4" name="Spalte4" dataDxfId="40"/>
    <tableColumn id="5" name="Spalte5" dataDxfId="39"/>
  </tableColumns>
  <tableStyleInfo name="TableStyleLight2" showFirstColumn="0" showLastColumn="0" showRowStripes="1" showColumnStripes="0"/>
</table>
</file>

<file path=xl/tables/table6.xml><?xml version="1.0" encoding="utf-8"?>
<table xmlns="http://schemas.openxmlformats.org/spreadsheetml/2006/main" id="13" name="Tabelle13" displayName="Tabelle13" ref="D6:F34" totalsRowShown="0" headerRowDxfId="38">
  <autoFilter ref="D6:F34"/>
  <tableColumns count="3">
    <tableColumn id="1" name="Art der Entwässerungsfläche" dataDxfId="37"/>
    <tableColumn id="2" name="CS" dataDxfId="36"/>
    <tableColumn id="3" name="CM" dataDxfId="35"/>
  </tableColumns>
  <tableStyleInfo name="TableStyleLight8" showFirstColumn="0" showLastColumn="0" showRowStripes="1" showColumnStripes="0"/>
</table>
</file>

<file path=xl/tables/table7.xml><?xml version="1.0" encoding="utf-8"?>
<table xmlns="http://schemas.openxmlformats.org/spreadsheetml/2006/main" id="14" name="Tabelle14" displayName="Tabelle14" ref="H39:K132" totalsRowShown="0" headerRowDxfId="34" dataDxfId="33">
  <autoFilter ref="H39:K132"/>
  <tableColumns count="4">
    <tableColumn id="1" name="Stadt" dataDxfId="32"/>
    <tableColumn id="2" name="Not-entwässer-ung r5,100" dataDxfId="31"/>
    <tableColumn id="3" name="r5,30" dataDxfId="30"/>
    <tableColumn id="4" name="r2,5" dataDxfId="29"/>
  </tableColumns>
  <tableStyleInfo name="TableStyleLight8" showFirstColumn="0" showLastColumn="0" showRowStripes="1" showColumnStripes="0"/>
</table>
</file>

<file path=xl/tables/table8.xml><?xml version="1.0" encoding="utf-8"?>
<table xmlns="http://schemas.openxmlformats.org/spreadsheetml/2006/main" id="11" name="Tabelle11" displayName="Tabelle11" ref="M7:P21" totalsRowShown="0" headerRowBorderDxfId="28" tableBorderDxfId="27" totalsRowBorderDxfId="26">
  <autoFilter ref="M7:P21"/>
  <tableColumns count="4">
    <tableColumn id="1" name="DN" dataDxfId="25"/>
    <tableColumn id="2" name="DIN EN558 Series 1 Gate Valve" dataDxfId="24"/>
    <tableColumn id="3" name="DIN EN558 Series1  No-return flap" dataDxfId="23"/>
    <tableColumn id="4" name="Total length" dataDxfId="22">
      <calculatedColumnFormula>Tabelle11[[#This Row],[DIN EN558 Series 1 Gate Valve]]+Tabelle11[[#This Row],[DIN EN558 Series1  No-return flap]]</calculatedColumnFormula>
    </tableColumn>
  </tableColumns>
  <tableStyleInfo name="TableStyleLight8" showFirstColumn="0" showLastColumn="0" showRowStripes="1" showColumnStripes="0"/>
</table>
</file>

<file path=xl/tables/table9.xml><?xml version="1.0" encoding="utf-8"?>
<table xmlns="http://schemas.openxmlformats.org/spreadsheetml/2006/main" id="8" name="Tabelle8" displayName="Tabelle8" ref="C4:C6" totalsRowShown="0" dataDxfId="21">
  <autoFilter ref="C4:C6"/>
  <tableColumns count="1">
    <tableColumn id="1" name="Number of pumps" dataDxfId="20"/>
  </tableColumns>
  <tableStyleInfo name="TableStyleLight8"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table" Target="../tables/table3.xm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6.xml"/><Relationship Id="rId5" Type="http://schemas.openxmlformats.org/officeDocument/2006/relationships/table" Target="../tables/table12.xml"/><Relationship Id="rId4"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L10"/>
  <sheetViews>
    <sheetView showGridLines="0" showRowColHeaders="0" tabSelected="1" topLeftCell="C1" workbookViewId="0">
      <selection activeCell="J28" sqref="J28"/>
    </sheetView>
  </sheetViews>
  <sheetFormatPr baseColWidth="10" defaultRowHeight="15" x14ac:dyDescent="0.25"/>
  <cols>
    <col min="4" max="4" width="12.7109375" customWidth="1"/>
    <col min="11" max="11" width="17.5703125" customWidth="1"/>
  </cols>
  <sheetData>
    <row r="5" spans="4:12" ht="26.25" x14ac:dyDescent="0.4">
      <c r="D5" s="81" t="s">
        <v>533</v>
      </c>
    </row>
    <row r="7" spans="4:12" ht="19.5" thickBot="1" x14ac:dyDescent="0.3">
      <c r="D7" s="75" t="s">
        <v>534</v>
      </c>
      <c r="E7" s="250" t="s">
        <v>535</v>
      </c>
      <c r="F7" s="250"/>
      <c r="G7" s="250"/>
      <c r="H7" s="250"/>
      <c r="I7" s="250"/>
      <c r="J7" s="250"/>
      <c r="K7" s="250"/>
    </row>
    <row r="8" spans="4:12" ht="41.25" customHeight="1" x14ac:dyDescent="0.25">
      <c r="D8" s="82">
        <v>1</v>
      </c>
      <c r="E8" s="251" t="s">
        <v>322</v>
      </c>
      <c r="F8" s="252"/>
      <c r="G8" s="252"/>
      <c r="H8" s="252"/>
      <c r="I8" s="252"/>
      <c r="J8" s="252"/>
      <c r="K8" s="253"/>
      <c r="L8" s="13"/>
    </row>
    <row r="9" spans="4:12" ht="34.5" customHeight="1" x14ac:dyDescent="0.25">
      <c r="D9" s="83">
        <v>2</v>
      </c>
      <c r="E9" s="254" t="s">
        <v>323</v>
      </c>
      <c r="F9" s="255"/>
      <c r="G9" s="255"/>
      <c r="H9" s="255"/>
      <c r="I9" s="255"/>
      <c r="J9" s="255"/>
      <c r="K9" s="256"/>
    </row>
    <row r="10" spans="4:12" ht="45" customHeight="1" thickBot="1" x14ac:dyDescent="0.3">
      <c r="D10" s="84">
        <v>3</v>
      </c>
      <c r="E10" s="257" t="s">
        <v>324</v>
      </c>
      <c r="F10" s="258"/>
      <c r="G10" s="258"/>
      <c r="H10" s="258"/>
      <c r="I10" s="258"/>
      <c r="J10" s="258"/>
      <c r="K10" s="259"/>
    </row>
  </sheetData>
  <sheetProtection algorithmName="SHA-512" hashValue="kk7sPEqZBBrU04uiGgbJTUN4Bv+jht10nW9c3Gz7GCNvB69suOj2Zgf5f6jGJrxWyelSSIcwioJXP1GjB3Ofdg==" saltValue="fvC134jLNhZklgPz7YR7WQ==" spinCount="100000" sheet="1" objects="1" scenarios="1"/>
  <mergeCells count="4">
    <mergeCell ref="E7:K7"/>
    <mergeCell ref="E8:K8"/>
    <mergeCell ref="E9:K9"/>
    <mergeCell ref="E10:K1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G136"/>
  <sheetViews>
    <sheetView showGridLines="0" showRowColHeaders="0" workbookViewId="0">
      <selection activeCell="I11" sqref="I11"/>
    </sheetView>
  </sheetViews>
  <sheetFormatPr baseColWidth="10" defaultColWidth="11.42578125" defaultRowHeight="15" x14ac:dyDescent="0.25"/>
  <cols>
    <col min="11" max="11" width="13" customWidth="1"/>
  </cols>
  <sheetData>
    <row r="3" spans="4:7" x14ac:dyDescent="0.25">
      <c r="D3" t="s">
        <v>513</v>
      </c>
    </row>
    <row r="5" spans="4:7" ht="17.25" x14ac:dyDescent="0.25">
      <c r="D5" s="21" t="s">
        <v>59</v>
      </c>
      <c r="E5" s="22" t="s">
        <v>60</v>
      </c>
      <c r="F5" s="22" t="s">
        <v>61</v>
      </c>
      <c r="G5" s="23" t="s">
        <v>62</v>
      </c>
    </row>
    <row r="6" spans="4:7" x14ac:dyDescent="0.25">
      <c r="D6" s="17">
        <f t="shared" ref="D6:D23" si="0">D7-1</f>
        <v>-20</v>
      </c>
      <c r="E6" s="14"/>
      <c r="F6" s="14"/>
      <c r="G6" s="18"/>
    </row>
    <row r="7" spans="4:7" x14ac:dyDescent="0.25">
      <c r="D7" s="17">
        <f t="shared" si="0"/>
        <v>-19</v>
      </c>
      <c r="E7" s="14"/>
      <c r="F7" s="14"/>
      <c r="G7" s="18"/>
    </row>
    <row r="8" spans="4:7" x14ac:dyDescent="0.25">
      <c r="D8" s="17">
        <f t="shared" si="0"/>
        <v>-18</v>
      </c>
      <c r="E8" s="14"/>
      <c r="F8" s="14"/>
      <c r="G8" s="18"/>
    </row>
    <row r="9" spans="4:7" x14ac:dyDescent="0.25">
      <c r="D9" s="17">
        <f t="shared" si="0"/>
        <v>-17</v>
      </c>
      <c r="E9" s="14"/>
      <c r="F9" s="14"/>
      <c r="G9" s="18"/>
    </row>
    <row r="10" spans="4:7" x14ac:dyDescent="0.25">
      <c r="D10" s="17">
        <f t="shared" si="0"/>
        <v>-16</v>
      </c>
      <c r="E10" s="14"/>
      <c r="F10" s="14"/>
      <c r="G10" s="18"/>
    </row>
    <row r="11" spans="4:7" x14ac:dyDescent="0.25">
      <c r="D11" s="17">
        <f t="shared" si="0"/>
        <v>-15</v>
      </c>
      <c r="E11" s="14"/>
      <c r="F11" s="14"/>
      <c r="G11" s="18"/>
    </row>
    <row r="12" spans="4:7" x14ac:dyDescent="0.25">
      <c r="D12" s="17">
        <f t="shared" si="0"/>
        <v>-14</v>
      </c>
      <c r="E12" s="14"/>
      <c r="F12" s="14"/>
      <c r="G12" s="18"/>
    </row>
    <row r="13" spans="4:7" x14ac:dyDescent="0.25">
      <c r="D13" s="17">
        <f t="shared" si="0"/>
        <v>-13</v>
      </c>
      <c r="E13" s="14"/>
      <c r="F13" s="14"/>
      <c r="G13" s="18"/>
    </row>
    <row r="14" spans="4:7" x14ac:dyDescent="0.25">
      <c r="D14" s="17">
        <f t="shared" si="0"/>
        <v>-12</v>
      </c>
      <c r="E14" s="14"/>
      <c r="F14" s="14"/>
      <c r="G14" s="18"/>
    </row>
    <row r="15" spans="4:7" x14ac:dyDescent="0.25">
      <c r="D15" s="17">
        <f t="shared" si="0"/>
        <v>-11</v>
      </c>
      <c r="E15" s="14"/>
      <c r="F15" s="14"/>
      <c r="G15" s="18"/>
    </row>
    <row r="16" spans="4:7" x14ac:dyDescent="0.25">
      <c r="D16" s="17">
        <f t="shared" si="0"/>
        <v>-10</v>
      </c>
      <c r="E16" s="14">
        <v>998</v>
      </c>
      <c r="F16" s="14"/>
      <c r="G16" s="18"/>
    </row>
    <row r="17" spans="4:7" x14ac:dyDescent="0.25">
      <c r="D17" s="17">
        <f t="shared" si="0"/>
        <v>-9</v>
      </c>
      <c r="E17" s="14">
        <v>998</v>
      </c>
      <c r="F17" s="14"/>
      <c r="G17" s="18"/>
    </row>
    <row r="18" spans="4:7" x14ac:dyDescent="0.25">
      <c r="D18" s="17">
        <f t="shared" si="0"/>
        <v>-8</v>
      </c>
      <c r="E18" s="14">
        <v>998</v>
      </c>
      <c r="F18" s="14"/>
      <c r="G18" s="18"/>
    </row>
    <row r="19" spans="4:7" x14ac:dyDescent="0.25">
      <c r="D19" s="17">
        <f t="shared" si="0"/>
        <v>-7</v>
      </c>
      <c r="E19" s="14">
        <v>998</v>
      </c>
      <c r="F19" s="14"/>
      <c r="G19" s="18"/>
    </row>
    <row r="20" spans="4:7" x14ac:dyDescent="0.25">
      <c r="D20" s="17">
        <f t="shared" si="0"/>
        <v>-6</v>
      </c>
      <c r="E20" s="14">
        <v>998</v>
      </c>
      <c r="F20" s="14"/>
      <c r="G20" s="18"/>
    </row>
    <row r="21" spans="4:7" x14ac:dyDescent="0.25">
      <c r="D21" s="17">
        <f t="shared" si="0"/>
        <v>-5</v>
      </c>
      <c r="E21" s="14">
        <v>998</v>
      </c>
      <c r="F21" s="14"/>
      <c r="G21" s="18"/>
    </row>
    <row r="22" spans="4:7" x14ac:dyDescent="0.25">
      <c r="D22" s="17">
        <f t="shared" si="0"/>
        <v>-4</v>
      </c>
      <c r="E22" s="14">
        <v>998</v>
      </c>
      <c r="F22" s="14"/>
      <c r="G22" s="18"/>
    </row>
    <row r="23" spans="4:7" x14ac:dyDescent="0.25">
      <c r="D23" s="17">
        <f t="shared" si="0"/>
        <v>-3</v>
      </c>
      <c r="E23" s="14">
        <v>998</v>
      </c>
      <c r="F23" s="14"/>
      <c r="G23" s="18"/>
    </row>
    <row r="24" spans="4:7" x14ac:dyDescent="0.25">
      <c r="D24" s="17">
        <f>D25-1</f>
        <v>-2</v>
      </c>
      <c r="E24" s="14">
        <v>998</v>
      </c>
      <c r="F24" s="14"/>
      <c r="G24" s="18"/>
    </row>
    <row r="25" spans="4:7" x14ac:dyDescent="0.25">
      <c r="D25" s="17">
        <v>-1</v>
      </c>
      <c r="E25" s="14">
        <v>998</v>
      </c>
      <c r="F25" s="14"/>
      <c r="G25" s="18"/>
    </row>
    <row r="26" spans="4:7" x14ac:dyDescent="0.25">
      <c r="D26" s="17">
        <v>0</v>
      </c>
      <c r="E26" s="14">
        <v>999.8</v>
      </c>
      <c r="F26" s="15">
        <f>G26*10^-6</f>
        <v>1.7929999999999998E-6</v>
      </c>
      <c r="G26" s="19">
        <v>1.7929999999999999</v>
      </c>
    </row>
    <row r="27" spans="4:7" x14ac:dyDescent="0.25">
      <c r="D27" s="17">
        <v>1</v>
      </c>
      <c r="E27" s="14">
        <v>999.9</v>
      </c>
      <c r="F27" s="15">
        <f t="shared" ref="F27:F90" si="1">G27*10^-6</f>
        <v>1.7929999999999998E-6</v>
      </c>
      <c r="G27" s="18">
        <v>1.7929999999999999</v>
      </c>
    </row>
    <row r="28" spans="4:7" x14ac:dyDescent="0.25">
      <c r="D28" s="17">
        <f>D27+1</f>
        <v>2</v>
      </c>
      <c r="E28" s="14">
        <v>999.9</v>
      </c>
      <c r="F28" s="15">
        <f t="shared" si="1"/>
        <v>1.7929999999999998E-6</v>
      </c>
      <c r="G28" s="18">
        <v>1.7929999999999999</v>
      </c>
    </row>
    <row r="29" spans="4:7" x14ac:dyDescent="0.25">
      <c r="D29" s="17">
        <f t="shared" ref="D29:D92" si="2">D28+1</f>
        <v>3</v>
      </c>
      <c r="E29" s="16">
        <v>1000</v>
      </c>
      <c r="F29" s="15">
        <f t="shared" si="1"/>
        <v>1.7929999999999998E-6</v>
      </c>
      <c r="G29" s="18">
        <v>1.7929999999999999</v>
      </c>
    </row>
    <row r="30" spans="4:7" x14ac:dyDescent="0.25">
      <c r="D30" s="17">
        <f t="shared" si="2"/>
        <v>4</v>
      </c>
      <c r="E30" s="16">
        <v>1000</v>
      </c>
      <c r="F30" s="15">
        <f t="shared" si="1"/>
        <v>1.7929999999999998E-6</v>
      </c>
      <c r="G30" s="18">
        <v>1.7929999999999999</v>
      </c>
    </row>
    <row r="31" spans="4:7" x14ac:dyDescent="0.25">
      <c r="D31" s="17">
        <f t="shared" si="2"/>
        <v>5</v>
      </c>
      <c r="E31" s="16">
        <v>1000</v>
      </c>
      <c r="F31" s="15">
        <f t="shared" si="1"/>
        <v>1.5189999999999998E-6</v>
      </c>
      <c r="G31" s="19">
        <v>1.5189999999999999</v>
      </c>
    </row>
    <row r="32" spans="4:7" x14ac:dyDescent="0.25">
      <c r="D32" s="17">
        <f t="shared" si="2"/>
        <v>6</v>
      </c>
      <c r="E32" s="14">
        <v>999.9</v>
      </c>
      <c r="F32" s="15">
        <f t="shared" si="1"/>
        <v>1.5189999999999998E-6</v>
      </c>
      <c r="G32" s="18">
        <v>1.5189999999999999</v>
      </c>
    </row>
    <row r="33" spans="4:7" x14ac:dyDescent="0.25">
      <c r="D33" s="17">
        <f t="shared" si="2"/>
        <v>7</v>
      </c>
      <c r="E33" s="14">
        <v>999.9</v>
      </c>
      <c r="F33" s="15">
        <f t="shared" si="1"/>
        <v>1.5189999999999998E-6</v>
      </c>
      <c r="G33" s="18">
        <v>1.5189999999999999</v>
      </c>
    </row>
    <row r="34" spans="4:7" x14ac:dyDescent="0.25">
      <c r="D34" s="17">
        <f t="shared" si="2"/>
        <v>8</v>
      </c>
      <c r="E34" s="14">
        <v>999.8</v>
      </c>
      <c r="F34" s="15">
        <f t="shared" si="1"/>
        <v>1.5189999999999998E-6</v>
      </c>
      <c r="G34" s="18">
        <v>1.5189999999999999</v>
      </c>
    </row>
    <row r="35" spans="4:7" x14ac:dyDescent="0.25">
      <c r="D35" s="17">
        <f t="shared" si="2"/>
        <v>9</v>
      </c>
      <c r="E35" s="14">
        <v>999.7</v>
      </c>
      <c r="F35" s="15">
        <f t="shared" si="1"/>
        <v>1.5189999999999998E-6</v>
      </c>
      <c r="G35" s="18">
        <v>1.5189999999999999</v>
      </c>
    </row>
    <row r="36" spans="4:7" x14ac:dyDescent="0.25">
      <c r="D36" s="17">
        <f t="shared" si="2"/>
        <v>10</v>
      </c>
      <c r="E36" s="14">
        <v>999.6</v>
      </c>
      <c r="F36" s="15">
        <f t="shared" si="1"/>
        <v>1.3069999999999999E-6</v>
      </c>
      <c r="G36" s="19">
        <v>1.3069999999999999</v>
      </c>
    </row>
    <row r="37" spans="4:7" x14ac:dyDescent="0.25">
      <c r="D37" s="17">
        <f t="shared" si="2"/>
        <v>11</v>
      </c>
      <c r="E37" s="14">
        <v>999.5</v>
      </c>
      <c r="F37" s="15">
        <f t="shared" si="1"/>
        <v>1.3069999999999999E-6</v>
      </c>
      <c r="G37" s="18">
        <v>1.3069999999999999</v>
      </c>
    </row>
    <row r="38" spans="4:7" x14ac:dyDescent="0.25">
      <c r="D38" s="17">
        <f t="shared" si="2"/>
        <v>12</v>
      </c>
      <c r="E38" s="14">
        <v>999.4</v>
      </c>
      <c r="F38" s="15">
        <f t="shared" si="1"/>
        <v>1.3069999999999999E-6</v>
      </c>
      <c r="G38" s="18">
        <v>1.3069999999999999</v>
      </c>
    </row>
    <row r="39" spans="4:7" x14ac:dyDescent="0.25">
      <c r="D39" s="17">
        <f t="shared" si="2"/>
        <v>13</v>
      </c>
      <c r="E39" s="14">
        <v>999.3</v>
      </c>
      <c r="F39" s="15">
        <f t="shared" si="1"/>
        <v>1.3069999999999999E-6</v>
      </c>
      <c r="G39" s="18">
        <v>1.3069999999999999</v>
      </c>
    </row>
    <row r="40" spans="4:7" x14ac:dyDescent="0.25">
      <c r="D40" s="17">
        <f t="shared" si="2"/>
        <v>14</v>
      </c>
      <c r="E40" s="14">
        <v>999.2</v>
      </c>
      <c r="F40" s="15">
        <f t="shared" si="1"/>
        <v>1.3069999999999999E-6</v>
      </c>
      <c r="G40" s="18">
        <v>1.3069999999999999</v>
      </c>
    </row>
    <row r="41" spans="4:7" x14ac:dyDescent="0.25">
      <c r="D41" s="17">
        <f t="shared" si="2"/>
        <v>15</v>
      </c>
      <c r="E41" s="14">
        <v>999</v>
      </c>
      <c r="F41" s="15">
        <f t="shared" si="1"/>
        <v>1.139E-6</v>
      </c>
      <c r="G41" s="19">
        <v>1.139</v>
      </c>
    </row>
    <row r="42" spans="4:7" x14ac:dyDescent="0.25">
      <c r="D42" s="17">
        <f t="shared" si="2"/>
        <v>16</v>
      </c>
      <c r="E42" s="14">
        <v>998.8</v>
      </c>
      <c r="F42" s="15">
        <f t="shared" si="1"/>
        <v>1.139E-6</v>
      </c>
      <c r="G42" s="20">
        <v>1.139</v>
      </c>
    </row>
    <row r="43" spans="4:7" x14ac:dyDescent="0.25">
      <c r="D43" s="17">
        <f t="shared" si="2"/>
        <v>17</v>
      </c>
      <c r="E43" s="14">
        <v>998.7</v>
      </c>
      <c r="F43" s="15">
        <f t="shared" si="1"/>
        <v>1.139E-6</v>
      </c>
      <c r="G43" s="20">
        <v>1.139</v>
      </c>
    </row>
    <row r="44" spans="4:7" x14ac:dyDescent="0.25">
      <c r="D44" s="17">
        <f t="shared" si="2"/>
        <v>18</v>
      </c>
      <c r="E44" s="14">
        <v>998.5</v>
      </c>
      <c r="F44" s="15">
        <f t="shared" si="1"/>
        <v>1.139E-6</v>
      </c>
      <c r="G44" s="20">
        <v>1.139</v>
      </c>
    </row>
    <row r="45" spans="4:7" x14ac:dyDescent="0.25">
      <c r="D45" s="17">
        <f t="shared" si="2"/>
        <v>19</v>
      </c>
      <c r="E45" s="14">
        <v>998.4</v>
      </c>
      <c r="F45" s="15">
        <f t="shared" si="1"/>
        <v>1.139E-6</v>
      </c>
      <c r="G45" s="20">
        <v>1.139</v>
      </c>
    </row>
    <row r="46" spans="4:7" x14ac:dyDescent="0.25">
      <c r="D46" s="17">
        <f t="shared" si="2"/>
        <v>20</v>
      </c>
      <c r="E46" s="14">
        <v>998.2</v>
      </c>
      <c r="F46" s="15">
        <f t="shared" si="1"/>
        <v>1.004E-6</v>
      </c>
      <c r="G46" s="19">
        <v>1.004</v>
      </c>
    </row>
    <row r="47" spans="4:7" x14ac:dyDescent="0.25">
      <c r="D47" s="17">
        <f t="shared" si="2"/>
        <v>21</v>
      </c>
      <c r="E47" s="14">
        <v>997.9</v>
      </c>
      <c r="F47" s="15">
        <f t="shared" si="1"/>
        <v>1.004E-6</v>
      </c>
      <c r="G47" s="20">
        <v>1.004</v>
      </c>
    </row>
    <row r="48" spans="4:7" x14ac:dyDescent="0.25">
      <c r="D48" s="17">
        <f t="shared" si="2"/>
        <v>22</v>
      </c>
      <c r="E48" s="14">
        <v>997.7</v>
      </c>
      <c r="F48" s="15">
        <f t="shared" si="1"/>
        <v>1.004E-6</v>
      </c>
      <c r="G48" s="20">
        <v>1.004</v>
      </c>
    </row>
    <row r="49" spans="4:7" x14ac:dyDescent="0.25">
      <c r="D49" s="17">
        <f t="shared" si="2"/>
        <v>23</v>
      </c>
      <c r="E49" s="14">
        <v>997.5</v>
      </c>
      <c r="F49" s="15">
        <f t="shared" si="1"/>
        <v>1.004E-6</v>
      </c>
      <c r="G49" s="20">
        <v>1.004</v>
      </c>
    </row>
    <row r="50" spans="4:7" x14ac:dyDescent="0.25">
      <c r="D50" s="17">
        <f t="shared" si="2"/>
        <v>24</v>
      </c>
      <c r="E50" s="14">
        <v>997.2</v>
      </c>
      <c r="F50" s="15">
        <f t="shared" si="1"/>
        <v>1.004E-6</v>
      </c>
      <c r="G50" s="20">
        <v>1.004</v>
      </c>
    </row>
    <row r="51" spans="4:7" x14ac:dyDescent="0.25">
      <c r="D51" s="17">
        <f t="shared" si="2"/>
        <v>25</v>
      </c>
      <c r="E51" s="14">
        <v>997</v>
      </c>
      <c r="F51" s="15">
        <f t="shared" si="1"/>
        <v>8.9299999999999996E-7</v>
      </c>
      <c r="G51" s="19">
        <v>0.89300000000000002</v>
      </c>
    </row>
    <row r="52" spans="4:7" x14ac:dyDescent="0.25">
      <c r="D52" s="17">
        <f t="shared" si="2"/>
        <v>26</v>
      </c>
      <c r="E52" s="14">
        <v>996.7</v>
      </c>
      <c r="F52" s="15">
        <f t="shared" si="1"/>
        <v>8.9299999999999996E-7</v>
      </c>
      <c r="G52" s="18">
        <v>0.89300000000000002</v>
      </c>
    </row>
    <row r="53" spans="4:7" x14ac:dyDescent="0.25">
      <c r="D53" s="17">
        <f t="shared" si="2"/>
        <v>27</v>
      </c>
      <c r="E53" s="14">
        <v>996.4</v>
      </c>
      <c r="F53" s="15">
        <f t="shared" si="1"/>
        <v>8.9299999999999996E-7</v>
      </c>
      <c r="G53" s="18">
        <v>0.89300000000000002</v>
      </c>
    </row>
    <row r="54" spans="4:7" x14ac:dyDescent="0.25">
      <c r="D54" s="17">
        <f t="shared" si="2"/>
        <v>28</v>
      </c>
      <c r="E54" s="14">
        <v>996.1</v>
      </c>
      <c r="F54" s="15">
        <f t="shared" si="1"/>
        <v>8.9299999999999996E-7</v>
      </c>
      <c r="G54" s="18">
        <v>0.89300000000000002</v>
      </c>
    </row>
    <row r="55" spans="4:7" x14ac:dyDescent="0.25">
      <c r="D55" s="17">
        <f t="shared" si="2"/>
        <v>29</v>
      </c>
      <c r="E55" s="14">
        <v>995.8</v>
      </c>
      <c r="F55" s="15">
        <f t="shared" si="1"/>
        <v>8.9299999999999996E-7</v>
      </c>
      <c r="G55" s="18">
        <v>0.89300000000000002</v>
      </c>
    </row>
    <row r="56" spans="4:7" x14ac:dyDescent="0.25">
      <c r="D56" s="17">
        <f t="shared" si="2"/>
        <v>30</v>
      </c>
      <c r="E56" s="14">
        <v>995.6</v>
      </c>
      <c r="F56" s="15">
        <f t="shared" si="1"/>
        <v>8.0100000000000004E-7</v>
      </c>
      <c r="G56" s="19">
        <v>0.80100000000000005</v>
      </c>
    </row>
    <row r="57" spans="4:7" x14ac:dyDescent="0.25">
      <c r="D57" s="17">
        <f t="shared" si="2"/>
        <v>31</v>
      </c>
      <c r="E57" s="14">
        <v>995.2</v>
      </c>
      <c r="F57" s="15">
        <f t="shared" si="1"/>
        <v>8.0100000000000004E-7</v>
      </c>
      <c r="G57" s="18">
        <v>0.80100000000000005</v>
      </c>
    </row>
    <row r="58" spans="4:7" x14ac:dyDescent="0.25">
      <c r="D58" s="17">
        <f t="shared" si="2"/>
        <v>32</v>
      </c>
      <c r="E58" s="14">
        <v>994.9</v>
      </c>
      <c r="F58" s="15">
        <f t="shared" si="1"/>
        <v>8.0100000000000004E-7</v>
      </c>
      <c r="G58" s="18">
        <v>0.80100000000000005</v>
      </c>
    </row>
    <row r="59" spans="4:7" x14ac:dyDescent="0.25">
      <c r="D59" s="17">
        <f t="shared" si="2"/>
        <v>33</v>
      </c>
      <c r="E59" s="14">
        <v>994.6</v>
      </c>
      <c r="F59" s="15">
        <f t="shared" si="1"/>
        <v>8.0100000000000004E-7</v>
      </c>
      <c r="G59" s="18">
        <v>0.80100000000000005</v>
      </c>
    </row>
    <row r="60" spans="4:7" x14ac:dyDescent="0.25">
      <c r="D60" s="17">
        <f t="shared" si="2"/>
        <v>34</v>
      </c>
      <c r="E60" s="14">
        <v>994.2</v>
      </c>
      <c r="F60" s="15">
        <f t="shared" si="1"/>
        <v>8.0100000000000004E-7</v>
      </c>
      <c r="G60" s="18">
        <v>0.80100000000000005</v>
      </c>
    </row>
    <row r="61" spans="4:7" x14ac:dyDescent="0.25">
      <c r="D61" s="17">
        <f t="shared" si="2"/>
        <v>35</v>
      </c>
      <c r="E61" s="14">
        <v>993.9</v>
      </c>
      <c r="F61" s="15">
        <f t="shared" si="1"/>
        <v>7.2399999999999997E-7</v>
      </c>
      <c r="G61" s="19">
        <v>0.72399999999999998</v>
      </c>
    </row>
    <row r="62" spans="4:7" x14ac:dyDescent="0.25">
      <c r="D62" s="17">
        <f t="shared" si="2"/>
        <v>36</v>
      </c>
      <c r="E62" s="14">
        <v>993.5</v>
      </c>
      <c r="F62" s="15">
        <f t="shared" si="1"/>
        <v>7.2399999999999997E-7</v>
      </c>
      <c r="G62" s="18">
        <v>0.72399999999999998</v>
      </c>
    </row>
    <row r="63" spans="4:7" x14ac:dyDescent="0.25">
      <c r="D63" s="17">
        <f t="shared" si="2"/>
        <v>37</v>
      </c>
      <c r="E63" s="14">
        <v>993.2</v>
      </c>
      <c r="F63" s="15">
        <f t="shared" si="1"/>
        <v>7.2399999999999997E-7</v>
      </c>
      <c r="G63" s="18">
        <v>0.72399999999999998</v>
      </c>
    </row>
    <row r="64" spans="4:7" x14ac:dyDescent="0.25">
      <c r="D64" s="17">
        <f t="shared" si="2"/>
        <v>38</v>
      </c>
      <c r="E64" s="14">
        <v>992.9</v>
      </c>
      <c r="F64" s="15">
        <f t="shared" si="1"/>
        <v>7.2399999999999997E-7</v>
      </c>
      <c r="G64" s="18">
        <v>0.72399999999999998</v>
      </c>
    </row>
    <row r="65" spans="4:7" x14ac:dyDescent="0.25">
      <c r="D65" s="17">
        <f t="shared" si="2"/>
        <v>39</v>
      </c>
      <c r="E65" s="14">
        <v>992.6</v>
      </c>
      <c r="F65" s="15">
        <f t="shared" si="1"/>
        <v>7.2399999999999997E-7</v>
      </c>
      <c r="G65" s="18">
        <v>0.72399999999999998</v>
      </c>
    </row>
    <row r="66" spans="4:7" x14ac:dyDescent="0.25">
      <c r="D66" s="17">
        <f t="shared" si="2"/>
        <v>40</v>
      </c>
      <c r="E66" s="14">
        <v>992.2</v>
      </c>
      <c r="F66" s="15">
        <f t="shared" si="1"/>
        <v>6.5799999999999999E-7</v>
      </c>
      <c r="G66" s="19">
        <v>0.65800000000000003</v>
      </c>
    </row>
    <row r="67" spans="4:7" x14ac:dyDescent="0.25">
      <c r="D67" s="17">
        <f t="shared" si="2"/>
        <v>41</v>
      </c>
      <c r="E67" s="14">
        <v>991.8</v>
      </c>
      <c r="F67" s="15">
        <f t="shared" si="1"/>
        <v>6.5799999999999999E-7</v>
      </c>
      <c r="G67" s="18">
        <v>0.65800000000000003</v>
      </c>
    </row>
    <row r="68" spans="4:7" x14ac:dyDescent="0.25">
      <c r="D68" s="17">
        <f t="shared" si="2"/>
        <v>42</v>
      </c>
      <c r="E68" s="14">
        <v>991.4</v>
      </c>
      <c r="F68" s="15">
        <f t="shared" si="1"/>
        <v>6.5799999999999999E-7</v>
      </c>
      <c r="G68" s="18">
        <v>0.65800000000000003</v>
      </c>
    </row>
    <row r="69" spans="4:7" x14ac:dyDescent="0.25">
      <c r="D69" s="17">
        <f t="shared" si="2"/>
        <v>43</v>
      </c>
      <c r="E69" s="14">
        <v>991</v>
      </c>
      <c r="F69" s="15">
        <f t="shared" si="1"/>
        <v>6.5799999999999999E-7</v>
      </c>
      <c r="G69" s="18">
        <v>0.65800000000000003</v>
      </c>
    </row>
    <row r="70" spans="4:7" x14ac:dyDescent="0.25">
      <c r="D70" s="17">
        <f t="shared" si="2"/>
        <v>44</v>
      </c>
      <c r="E70" s="14">
        <v>990.6</v>
      </c>
      <c r="F70" s="15">
        <f t="shared" si="1"/>
        <v>6.5799999999999999E-7</v>
      </c>
      <c r="G70" s="18">
        <v>0.65800000000000003</v>
      </c>
    </row>
    <row r="71" spans="4:7" x14ac:dyDescent="0.25">
      <c r="D71" s="17">
        <f t="shared" si="2"/>
        <v>45</v>
      </c>
      <c r="E71" s="14">
        <v>990.2</v>
      </c>
      <c r="F71" s="15">
        <f t="shared" si="1"/>
        <v>6.0199999999999991E-7</v>
      </c>
      <c r="G71" s="19">
        <v>0.60199999999999998</v>
      </c>
    </row>
    <row r="72" spans="4:7" x14ac:dyDescent="0.25">
      <c r="D72" s="17">
        <f t="shared" si="2"/>
        <v>46</v>
      </c>
      <c r="E72" s="14">
        <v>989.8</v>
      </c>
      <c r="F72" s="15">
        <f t="shared" si="1"/>
        <v>6.0199999999999991E-7</v>
      </c>
      <c r="G72" s="18">
        <v>0.60199999999999998</v>
      </c>
    </row>
    <row r="73" spans="4:7" x14ac:dyDescent="0.25">
      <c r="D73" s="17">
        <f t="shared" si="2"/>
        <v>47</v>
      </c>
      <c r="E73" s="14">
        <v>989.3</v>
      </c>
      <c r="F73" s="15">
        <f t="shared" si="1"/>
        <v>6.0199999999999991E-7</v>
      </c>
      <c r="G73" s="18">
        <v>0.60199999999999998</v>
      </c>
    </row>
    <row r="74" spans="4:7" x14ac:dyDescent="0.25">
      <c r="D74" s="17">
        <f t="shared" si="2"/>
        <v>48</v>
      </c>
      <c r="E74" s="14">
        <v>988.9</v>
      </c>
      <c r="F74" s="15">
        <f t="shared" si="1"/>
        <v>6.0199999999999991E-7</v>
      </c>
      <c r="G74" s="18">
        <v>0.60199999999999998</v>
      </c>
    </row>
    <row r="75" spans="4:7" x14ac:dyDescent="0.25">
      <c r="D75" s="17">
        <f t="shared" si="2"/>
        <v>49</v>
      </c>
      <c r="E75" s="14">
        <v>988.5</v>
      </c>
      <c r="F75" s="15">
        <f t="shared" si="1"/>
        <v>6.0199999999999991E-7</v>
      </c>
      <c r="G75" s="18">
        <v>0.60199999999999998</v>
      </c>
    </row>
    <row r="76" spans="4:7" x14ac:dyDescent="0.25">
      <c r="D76" s="17">
        <f t="shared" si="2"/>
        <v>50</v>
      </c>
      <c r="E76" s="14">
        <v>988</v>
      </c>
      <c r="F76" s="15">
        <f t="shared" si="1"/>
        <v>5.5400000000000001E-7</v>
      </c>
      <c r="G76" s="19">
        <v>0.55400000000000005</v>
      </c>
    </row>
    <row r="77" spans="4:7" x14ac:dyDescent="0.25">
      <c r="D77" s="17">
        <f t="shared" si="2"/>
        <v>51</v>
      </c>
      <c r="E77" s="14">
        <v>987.7</v>
      </c>
      <c r="F77" s="15">
        <f t="shared" si="1"/>
        <v>5.5400000000000001E-7</v>
      </c>
      <c r="G77" s="18">
        <v>0.55400000000000005</v>
      </c>
    </row>
    <row r="78" spans="4:7" x14ac:dyDescent="0.25">
      <c r="D78" s="17">
        <f t="shared" si="2"/>
        <v>52</v>
      </c>
      <c r="E78" s="14">
        <v>987.2</v>
      </c>
      <c r="F78" s="15">
        <f t="shared" si="1"/>
        <v>5.5400000000000001E-7</v>
      </c>
      <c r="G78" s="18">
        <v>0.55400000000000005</v>
      </c>
    </row>
    <row r="79" spans="4:7" x14ac:dyDescent="0.25">
      <c r="D79" s="17">
        <f t="shared" si="2"/>
        <v>53</v>
      </c>
      <c r="E79" s="14">
        <v>986.7</v>
      </c>
      <c r="F79" s="15">
        <f t="shared" si="1"/>
        <v>5.5400000000000001E-7</v>
      </c>
      <c r="G79" s="18">
        <v>0.55400000000000005</v>
      </c>
    </row>
    <row r="80" spans="4:7" x14ac:dyDescent="0.25">
      <c r="D80" s="17">
        <f t="shared" si="2"/>
        <v>54</v>
      </c>
      <c r="E80" s="14">
        <v>986.2</v>
      </c>
      <c r="F80" s="15">
        <f t="shared" si="1"/>
        <v>5.5400000000000001E-7</v>
      </c>
      <c r="G80" s="18">
        <v>0.55400000000000005</v>
      </c>
    </row>
    <row r="81" spans="4:7" x14ac:dyDescent="0.25">
      <c r="D81" s="17">
        <f t="shared" si="2"/>
        <v>55</v>
      </c>
      <c r="E81" s="14">
        <v>985.7</v>
      </c>
      <c r="F81" s="15">
        <f t="shared" si="1"/>
        <v>5.1200000000000003E-7</v>
      </c>
      <c r="G81" s="19">
        <v>0.51200000000000001</v>
      </c>
    </row>
    <row r="82" spans="4:7" x14ac:dyDescent="0.25">
      <c r="D82" s="17">
        <f t="shared" si="2"/>
        <v>56</v>
      </c>
      <c r="E82" s="14">
        <v>985.2</v>
      </c>
      <c r="F82" s="15">
        <f t="shared" si="1"/>
        <v>5.1200000000000003E-7</v>
      </c>
      <c r="G82" s="18">
        <v>0.51200000000000001</v>
      </c>
    </row>
    <row r="83" spans="4:7" x14ac:dyDescent="0.25">
      <c r="D83" s="17">
        <f t="shared" si="2"/>
        <v>57</v>
      </c>
      <c r="E83" s="14">
        <v>984.7</v>
      </c>
      <c r="F83" s="15">
        <f t="shared" si="1"/>
        <v>5.1200000000000003E-7</v>
      </c>
      <c r="G83" s="18">
        <v>0.51200000000000001</v>
      </c>
    </row>
    <row r="84" spans="4:7" x14ac:dyDescent="0.25">
      <c r="D84" s="17">
        <f t="shared" si="2"/>
        <v>58</v>
      </c>
      <c r="E84" s="14">
        <v>984.3</v>
      </c>
      <c r="F84" s="15">
        <f t="shared" si="1"/>
        <v>5.1200000000000003E-7</v>
      </c>
      <c r="G84" s="18">
        <v>0.51200000000000001</v>
      </c>
    </row>
    <row r="85" spans="4:7" x14ac:dyDescent="0.25">
      <c r="D85" s="17">
        <f t="shared" si="2"/>
        <v>59</v>
      </c>
      <c r="E85" s="14">
        <v>983.7</v>
      </c>
      <c r="F85" s="15">
        <f t="shared" si="1"/>
        <v>5.1200000000000003E-7</v>
      </c>
      <c r="G85" s="18">
        <v>0.51200000000000001</v>
      </c>
    </row>
    <row r="86" spans="4:7" x14ac:dyDescent="0.25">
      <c r="D86" s="17">
        <f t="shared" si="2"/>
        <v>60</v>
      </c>
      <c r="E86" s="14">
        <v>983.2</v>
      </c>
      <c r="F86" s="15">
        <f t="shared" si="1"/>
        <v>4.7499999999999995E-7</v>
      </c>
      <c r="G86" s="19">
        <v>0.47499999999999998</v>
      </c>
    </row>
    <row r="87" spans="4:7" x14ac:dyDescent="0.25">
      <c r="D87" s="17">
        <f t="shared" si="2"/>
        <v>61</v>
      </c>
      <c r="E87" s="14">
        <v>982.6</v>
      </c>
      <c r="F87" s="15">
        <f t="shared" si="1"/>
        <v>4.7499999999999995E-7</v>
      </c>
      <c r="G87" s="18">
        <v>0.47499999999999998</v>
      </c>
    </row>
    <row r="88" spans="4:7" x14ac:dyDescent="0.25">
      <c r="D88" s="17">
        <f t="shared" si="2"/>
        <v>62</v>
      </c>
      <c r="E88" s="14">
        <v>982.1</v>
      </c>
      <c r="F88" s="15">
        <f t="shared" si="1"/>
        <v>4.7499999999999995E-7</v>
      </c>
      <c r="G88" s="18">
        <v>0.47499999999999998</v>
      </c>
    </row>
    <row r="89" spans="4:7" x14ac:dyDescent="0.25">
      <c r="D89" s="17">
        <f t="shared" si="2"/>
        <v>63</v>
      </c>
      <c r="E89" s="14">
        <v>981.6</v>
      </c>
      <c r="F89" s="15">
        <f t="shared" si="1"/>
        <v>4.7499999999999995E-7</v>
      </c>
      <c r="G89" s="18">
        <v>0.47499999999999998</v>
      </c>
    </row>
    <row r="90" spans="4:7" x14ac:dyDescent="0.25">
      <c r="D90" s="17">
        <f t="shared" si="2"/>
        <v>64</v>
      </c>
      <c r="E90" s="14">
        <v>981.1</v>
      </c>
      <c r="F90" s="15">
        <f t="shared" si="1"/>
        <v>4.7499999999999995E-7</v>
      </c>
      <c r="G90" s="18">
        <v>0.47499999999999998</v>
      </c>
    </row>
    <row r="91" spans="4:7" x14ac:dyDescent="0.25">
      <c r="D91" s="17">
        <f t="shared" si="2"/>
        <v>65</v>
      </c>
      <c r="E91" s="14">
        <v>980.5</v>
      </c>
      <c r="F91" s="15">
        <f t="shared" ref="F91:F136" si="3">G91*10^-6</f>
        <v>4.4199999999999996E-7</v>
      </c>
      <c r="G91" s="19">
        <v>0.442</v>
      </c>
    </row>
    <row r="92" spans="4:7" x14ac:dyDescent="0.25">
      <c r="D92" s="17">
        <f t="shared" si="2"/>
        <v>66</v>
      </c>
      <c r="E92" s="14">
        <v>980</v>
      </c>
      <c r="F92" s="15">
        <f t="shared" si="3"/>
        <v>4.4199999999999996E-7</v>
      </c>
      <c r="G92" s="18">
        <v>0.442</v>
      </c>
    </row>
    <row r="93" spans="4:7" x14ac:dyDescent="0.25">
      <c r="D93" s="17">
        <f t="shared" ref="D93:D126" si="4">D92+1</f>
        <v>67</v>
      </c>
      <c r="E93" s="14">
        <v>979.4</v>
      </c>
      <c r="F93" s="15">
        <f t="shared" si="3"/>
        <v>4.4199999999999996E-7</v>
      </c>
      <c r="G93" s="18">
        <v>0.442</v>
      </c>
    </row>
    <row r="94" spans="4:7" x14ac:dyDescent="0.25">
      <c r="D94" s="17">
        <f t="shared" si="4"/>
        <v>68</v>
      </c>
      <c r="E94" s="14">
        <v>978.8</v>
      </c>
      <c r="F94" s="15">
        <f t="shared" si="3"/>
        <v>4.4199999999999996E-7</v>
      </c>
      <c r="G94" s="18">
        <v>0.442</v>
      </c>
    </row>
    <row r="95" spans="4:7" x14ac:dyDescent="0.25">
      <c r="D95" s="17">
        <f t="shared" si="4"/>
        <v>69</v>
      </c>
      <c r="E95" s="14">
        <v>978.3</v>
      </c>
      <c r="F95" s="15">
        <f t="shared" si="3"/>
        <v>4.4199999999999996E-7</v>
      </c>
      <c r="G95" s="18">
        <v>0.442</v>
      </c>
    </row>
    <row r="96" spans="4:7" x14ac:dyDescent="0.25">
      <c r="D96" s="17">
        <f t="shared" si="4"/>
        <v>70</v>
      </c>
      <c r="E96" s="14">
        <v>977.7</v>
      </c>
      <c r="F96" s="15">
        <f t="shared" si="3"/>
        <v>4.1299999999999995E-7</v>
      </c>
      <c r="G96" s="19">
        <v>0.41299999999999998</v>
      </c>
    </row>
    <row r="97" spans="4:7" x14ac:dyDescent="0.25">
      <c r="D97" s="17">
        <f t="shared" si="4"/>
        <v>71</v>
      </c>
      <c r="E97" s="14">
        <v>977.1</v>
      </c>
      <c r="F97" s="15">
        <f t="shared" si="3"/>
        <v>4.1299999999999995E-7</v>
      </c>
      <c r="G97" s="18">
        <v>0.41299999999999998</v>
      </c>
    </row>
    <row r="98" spans="4:7" x14ac:dyDescent="0.25">
      <c r="D98" s="17">
        <f t="shared" si="4"/>
        <v>72</v>
      </c>
      <c r="E98" s="14">
        <v>976.6</v>
      </c>
      <c r="F98" s="15">
        <f t="shared" si="3"/>
        <v>4.1299999999999995E-7</v>
      </c>
      <c r="G98" s="18">
        <v>0.41299999999999998</v>
      </c>
    </row>
    <row r="99" spans="4:7" x14ac:dyDescent="0.25">
      <c r="D99" s="17">
        <f t="shared" si="4"/>
        <v>73</v>
      </c>
      <c r="E99" s="14">
        <v>976</v>
      </c>
      <c r="F99" s="15">
        <f t="shared" si="3"/>
        <v>4.1299999999999995E-7</v>
      </c>
      <c r="G99" s="18">
        <v>0.41299999999999998</v>
      </c>
    </row>
    <row r="100" spans="4:7" x14ac:dyDescent="0.25">
      <c r="D100" s="17">
        <f t="shared" si="4"/>
        <v>74</v>
      </c>
      <c r="E100" s="14">
        <v>975.4</v>
      </c>
      <c r="F100" s="15">
        <f t="shared" si="3"/>
        <v>4.1299999999999995E-7</v>
      </c>
      <c r="G100" s="18">
        <v>0.41299999999999998</v>
      </c>
    </row>
    <row r="101" spans="4:7" x14ac:dyDescent="0.25">
      <c r="D101" s="17">
        <f t="shared" si="4"/>
        <v>75</v>
      </c>
      <c r="E101" s="14">
        <v>974.8</v>
      </c>
      <c r="F101" s="15">
        <f t="shared" si="3"/>
        <v>3.8799999999999998E-7</v>
      </c>
      <c r="G101" s="19">
        <v>0.38800000000000001</v>
      </c>
    </row>
    <row r="102" spans="4:7" x14ac:dyDescent="0.25">
      <c r="D102" s="17">
        <f t="shared" si="4"/>
        <v>76</v>
      </c>
      <c r="E102" s="14">
        <v>974.3</v>
      </c>
      <c r="F102" s="15">
        <f t="shared" si="3"/>
        <v>3.8799999999999998E-7</v>
      </c>
      <c r="G102" s="18">
        <v>0.38800000000000001</v>
      </c>
    </row>
    <row r="103" spans="4:7" x14ac:dyDescent="0.25">
      <c r="D103" s="17">
        <f t="shared" si="4"/>
        <v>77</v>
      </c>
      <c r="E103" s="14">
        <v>973.7</v>
      </c>
      <c r="F103" s="15">
        <f t="shared" si="3"/>
        <v>3.8799999999999998E-7</v>
      </c>
      <c r="G103" s="18">
        <v>0.38800000000000001</v>
      </c>
    </row>
    <row r="104" spans="4:7" x14ac:dyDescent="0.25">
      <c r="D104" s="17">
        <f t="shared" si="4"/>
        <v>78</v>
      </c>
      <c r="E104" s="14">
        <v>973</v>
      </c>
      <c r="F104" s="15">
        <f t="shared" si="3"/>
        <v>3.8799999999999998E-7</v>
      </c>
      <c r="G104" s="18">
        <v>0.38800000000000001</v>
      </c>
    </row>
    <row r="105" spans="4:7" x14ac:dyDescent="0.25">
      <c r="D105" s="17">
        <f t="shared" si="4"/>
        <v>79</v>
      </c>
      <c r="E105" s="14">
        <v>972.5</v>
      </c>
      <c r="F105" s="15">
        <f t="shared" si="3"/>
        <v>3.8799999999999998E-7</v>
      </c>
      <c r="G105" s="18">
        <v>0.38800000000000001</v>
      </c>
    </row>
    <row r="106" spans="4:7" x14ac:dyDescent="0.25">
      <c r="D106" s="17">
        <f t="shared" si="4"/>
        <v>80</v>
      </c>
      <c r="E106" s="14">
        <v>971.8</v>
      </c>
      <c r="F106" s="15">
        <f t="shared" si="3"/>
        <v>3.65E-7</v>
      </c>
      <c r="G106" s="19">
        <v>0.36499999999999999</v>
      </c>
    </row>
    <row r="107" spans="4:7" x14ac:dyDescent="0.25">
      <c r="D107" s="17">
        <f t="shared" si="4"/>
        <v>81</v>
      </c>
      <c r="E107" s="14">
        <v>971.3</v>
      </c>
      <c r="F107" s="15">
        <f t="shared" si="3"/>
        <v>3.65E-7</v>
      </c>
      <c r="G107" s="18">
        <v>0.36499999999999999</v>
      </c>
    </row>
    <row r="108" spans="4:7" x14ac:dyDescent="0.25">
      <c r="D108" s="17">
        <f t="shared" si="4"/>
        <v>82</v>
      </c>
      <c r="E108" s="14">
        <v>970.6</v>
      </c>
      <c r="F108" s="15">
        <f t="shared" si="3"/>
        <v>3.65E-7</v>
      </c>
      <c r="G108" s="18">
        <v>0.36499999999999999</v>
      </c>
    </row>
    <row r="109" spans="4:7" x14ac:dyDescent="0.25">
      <c r="D109" s="17">
        <f t="shared" si="4"/>
        <v>83</v>
      </c>
      <c r="E109" s="14">
        <v>969.9</v>
      </c>
      <c r="F109" s="15">
        <f t="shared" si="3"/>
        <v>3.65E-7</v>
      </c>
      <c r="G109" s="18">
        <v>0.36499999999999999</v>
      </c>
    </row>
    <row r="110" spans="4:7" x14ac:dyDescent="0.25">
      <c r="D110" s="17">
        <f t="shared" si="4"/>
        <v>84</v>
      </c>
      <c r="E110" s="14">
        <v>969.4</v>
      </c>
      <c r="F110" s="15">
        <f t="shared" si="3"/>
        <v>3.65E-7</v>
      </c>
      <c r="G110" s="18">
        <v>0.36499999999999999</v>
      </c>
    </row>
    <row r="111" spans="4:7" x14ac:dyDescent="0.25">
      <c r="D111" s="17">
        <f t="shared" si="4"/>
        <v>85</v>
      </c>
      <c r="E111" s="14">
        <v>968.7</v>
      </c>
      <c r="F111" s="15">
        <f t="shared" si="3"/>
        <v>3.4399999999999996E-7</v>
      </c>
      <c r="G111" s="19">
        <v>0.34399999999999997</v>
      </c>
    </row>
    <row r="112" spans="4:7" x14ac:dyDescent="0.25">
      <c r="D112" s="17">
        <f t="shared" si="4"/>
        <v>86</v>
      </c>
      <c r="E112" s="14">
        <v>968.1</v>
      </c>
      <c r="F112" s="15">
        <f t="shared" si="3"/>
        <v>3.4399999999999996E-7</v>
      </c>
      <c r="G112" s="18">
        <v>0.34399999999999997</v>
      </c>
    </row>
    <row r="113" spans="4:7" x14ac:dyDescent="0.25">
      <c r="D113" s="17">
        <f t="shared" si="4"/>
        <v>87</v>
      </c>
      <c r="E113" s="14">
        <v>967.4</v>
      </c>
      <c r="F113" s="15">
        <f t="shared" si="3"/>
        <v>3.4399999999999996E-7</v>
      </c>
      <c r="G113" s="18">
        <v>0.34399999999999997</v>
      </c>
    </row>
    <row r="114" spans="4:7" x14ac:dyDescent="0.25">
      <c r="D114" s="17">
        <f t="shared" si="4"/>
        <v>88</v>
      </c>
      <c r="E114" s="14">
        <v>966.7</v>
      </c>
      <c r="F114" s="15">
        <f t="shared" si="3"/>
        <v>3.4399999999999996E-7</v>
      </c>
      <c r="G114" s="18">
        <v>0.34399999999999997</v>
      </c>
    </row>
    <row r="115" spans="4:7" x14ac:dyDescent="0.25">
      <c r="D115" s="17">
        <f t="shared" si="4"/>
        <v>89</v>
      </c>
      <c r="E115" s="14">
        <v>966</v>
      </c>
      <c r="F115" s="15">
        <f t="shared" si="3"/>
        <v>3.4399999999999996E-7</v>
      </c>
      <c r="G115" s="18">
        <v>0.34399999999999997</v>
      </c>
    </row>
    <row r="116" spans="4:7" x14ac:dyDescent="0.25">
      <c r="D116" s="17">
        <f t="shared" si="4"/>
        <v>90</v>
      </c>
      <c r="E116" s="14">
        <v>965.3</v>
      </c>
      <c r="F116" s="15">
        <f t="shared" si="3"/>
        <v>3.2599999999999998E-7</v>
      </c>
      <c r="G116" s="19">
        <v>0.32600000000000001</v>
      </c>
    </row>
    <row r="117" spans="4:7" x14ac:dyDescent="0.25">
      <c r="D117" s="17">
        <f t="shared" si="4"/>
        <v>91</v>
      </c>
      <c r="E117" s="14">
        <v>964.7</v>
      </c>
      <c r="F117" s="15">
        <f t="shared" si="3"/>
        <v>3.2599999999999998E-7</v>
      </c>
      <c r="G117" s="18">
        <v>0.32600000000000001</v>
      </c>
    </row>
    <row r="118" spans="4:7" x14ac:dyDescent="0.25">
      <c r="D118" s="17">
        <f t="shared" si="4"/>
        <v>92</v>
      </c>
      <c r="E118" s="14">
        <v>964</v>
      </c>
      <c r="F118" s="15">
        <f t="shared" si="3"/>
        <v>3.2599999999999998E-7</v>
      </c>
      <c r="G118" s="18">
        <v>0.32600000000000001</v>
      </c>
    </row>
    <row r="119" spans="4:7" x14ac:dyDescent="0.25">
      <c r="D119" s="17">
        <f t="shared" si="4"/>
        <v>93</v>
      </c>
      <c r="E119" s="14">
        <v>963.3</v>
      </c>
      <c r="F119" s="15">
        <f t="shared" si="3"/>
        <v>3.2599999999999998E-7</v>
      </c>
      <c r="G119" s="18">
        <v>0.32600000000000001</v>
      </c>
    </row>
    <row r="120" spans="4:7" x14ac:dyDescent="0.25">
      <c r="D120" s="17">
        <f t="shared" si="4"/>
        <v>94</v>
      </c>
      <c r="E120" s="14">
        <v>962.6</v>
      </c>
      <c r="F120" s="15">
        <f t="shared" si="3"/>
        <v>3.2599999999999998E-7</v>
      </c>
      <c r="G120" s="18">
        <v>0.32600000000000001</v>
      </c>
    </row>
    <row r="121" spans="4:7" x14ac:dyDescent="0.25">
      <c r="D121" s="17">
        <f t="shared" si="4"/>
        <v>95</v>
      </c>
      <c r="E121" s="14">
        <v>961.9</v>
      </c>
      <c r="F121" s="15">
        <f t="shared" si="3"/>
        <v>3.0899999999999997E-7</v>
      </c>
      <c r="G121" s="19">
        <v>0.309</v>
      </c>
    </row>
    <row r="122" spans="4:7" x14ac:dyDescent="0.25">
      <c r="D122" s="17">
        <f t="shared" si="4"/>
        <v>96</v>
      </c>
      <c r="E122" s="14">
        <v>961.2</v>
      </c>
      <c r="F122" s="15">
        <f t="shared" si="3"/>
        <v>3.0899999999999997E-7</v>
      </c>
      <c r="G122" s="18">
        <v>0.309</v>
      </c>
    </row>
    <row r="123" spans="4:7" x14ac:dyDescent="0.25">
      <c r="D123" s="17">
        <f t="shared" si="4"/>
        <v>97</v>
      </c>
      <c r="E123" s="14">
        <v>960.4</v>
      </c>
      <c r="F123" s="15">
        <f t="shared" si="3"/>
        <v>3.0899999999999997E-7</v>
      </c>
      <c r="G123" s="18">
        <v>0.309</v>
      </c>
    </row>
    <row r="124" spans="4:7" x14ac:dyDescent="0.25">
      <c r="D124" s="17">
        <f t="shared" si="4"/>
        <v>98</v>
      </c>
      <c r="E124" s="14">
        <v>959.8</v>
      </c>
      <c r="F124" s="15">
        <f t="shared" si="3"/>
        <v>3.0899999999999997E-7</v>
      </c>
      <c r="G124" s="18">
        <v>0.309</v>
      </c>
    </row>
    <row r="125" spans="4:7" x14ac:dyDescent="0.25">
      <c r="D125" s="17">
        <f t="shared" si="4"/>
        <v>99</v>
      </c>
      <c r="E125" s="14">
        <v>959</v>
      </c>
      <c r="F125" s="15">
        <f t="shared" si="3"/>
        <v>3.0899999999999997E-7</v>
      </c>
      <c r="G125" s="18">
        <v>0.309</v>
      </c>
    </row>
    <row r="126" spans="4:7" x14ac:dyDescent="0.25">
      <c r="D126" s="17">
        <f t="shared" si="4"/>
        <v>100</v>
      </c>
      <c r="E126" s="14">
        <v>958.3</v>
      </c>
      <c r="F126" s="15">
        <f t="shared" si="3"/>
        <v>2.9499999999999998E-7</v>
      </c>
      <c r="G126" s="19">
        <v>0.29499999999999998</v>
      </c>
    </row>
    <row r="127" spans="4:7" x14ac:dyDescent="0.25">
      <c r="D127" s="17">
        <v>102</v>
      </c>
      <c r="E127" s="14">
        <v>956.8</v>
      </c>
      <c r="F127" s="15">
        <f t="shared" si="3"/>
        <v>2.9499999999999998E-7</v>
      </c>
      <c r="G127" s="18">
        <v>0.29499999999999998</v>
      </c>
    </row>
    <row r="128" spans="4:7" x14ac:dyDescent="0.25">
      <c r="D128" s="17">
        <v>104</v>
      </c>
      <c r="E128" s="14">
        <v>955.5</v>
      </c>
      <c r="F128" s="15">
        <f t="shared" si="3"/>
        <v>2.9499999999999998E-7</v>
      </c>
      <c r="G128" s="18">
        <v>0.29499999999999998</v>
      </c>
    </row>
    <row r="129" spans="4:7" x14ac:dyDescent="0.25">
      <c r="D129" s="17">
        <v>106</v>
      </c>
      <c r="E129" s="14">
        <v>954</v>
      </c>
      <c r="F129" s="15">
        <f t="shared" si="3"/>
        <v>2.9499999999999998E-7</v>
      </c>
      <c r="G129" s="18">
        <v>0.29499999999999998</v>
      </c>
    </row>
    <row r="130" spans="4:7" x14ac:dyDescent="0.25">
      <c r="D130" s="17">
        <v>108</v>
      </c>
      <c r="E130" s="14">
        <v>952.6</v>
      </c>
      <c r="F130" s="15">
        <f t="shared" si="3"/>
        <v>2.9499999999999998E-7</v>
      </c>
      <c r="G130" s="18">
        <v>0.29499999999999998</v>
      </c>
    </row>
    <row r="131" spans="4:7" x14ac:dyDescent="0.25">
      <c r="D131" s="17">
        <v>110</v>
      </c>
      <c r="E131" s="14">
        <v>951</v>
      </c>
      <c r="F131" s="15">
        <f t="shared" si="3"/>
        <v>2.9499999999999998E-7</v>
      </c>
      <c r="G131" s="18">
        <v>0.29499999999999998</v>
      </c>
    </row>
    <row r="132" spans="4:7" x14ac:dyDescent="0.25">
      <c r="D132" s="17">
        <v>112</v>
      </c>
      <c r="E132" s="14">
        <v>949.6</v>
      </c>
      <c r="F132" s="15">
        <f t="shared" si="3"/>
        <v>2.9499999999999998E-7</v>
      </c>
      <c r="G132" s="18">
        <v>0.29499999999999998</v>
      </c>
    </row>
    <row r="133" spans="4:7" x14ac:dyDescent="0.25">
      <c r="D133" s="17">
        <v>114</v>
      </c>
      <c r="E133" s="14">
        <v>948</v>
      </c>
      <c r="F133" s="15">
        <f t="shared" si="3"/>
        <v>2.9499999999999998E-7</v>
      </c>
      <c r="G133" s="18">
        <v>0.29499999999999998</v>
      </c>
    </row>
    <row r="134" spans="4:7" x14ac:dyDescent="0.25">
      <c r="D134" s="17">
        <v>116</v>
      </c>
      <c r="E134" s="14">
        <v>946.4</v>
      </c>
      <c r="F134" s="15">
        <f t="shared" si="3"/>
        <v>2.9499999999999998E-7</v>
      </c>
      <c r="G134" s="18">
        <v>0.29499999999999998</v>
      </c>
    </row>
    <row r="135" spans="4:7" x14ac:dyDescent="0.25">
      <c r="D135" s="17">
        <v>118</v>
      </c>
      <c r="E135" s="14">
        <v>944.8</v>
      </c>
      <c r="F135" s="15">
        <f t="shared" si="3"/>
        <v>2.9499999999999998E-7</v>
      </c>
      <c r="G135" s="18">
        <v>0.29499999999999998</v>
      </c>
    </row>
    <row r="136" spans="4:7" x14ac:dyDescent="0.25">
      <c r="D136" s="24">
        <v>120</v>
      </c>
      <c r="E136" s="25">
        <v>943.1</v>
      </c>
      <c r="F136" s="26">
        <f t="shared" si="3"/>
        <v>2.9499999999999998E-7</v>
      </c>
      <c r="G136" s="27">
        <v>0.29499999999999998</v>
      </c>
    </row>
  </sheetData>
  <sheetProtection algorithmName="SHA-512" hashValue="ITE2ysFdhjJOzeEa6f+StyR6HF9Q4bM+ZOhi/R/1raJPqO3bZkyVmX+5TChg0FHU0yAqCnpTUGlnN4fqO2HioA==" saltValue="m+rEBOU7+o3KVxTNh/u7/Q==" spinCount="100000" sheet="1" objects="1" scenarios="1"/>
  <pageMargins left="0.7" right="0.7" top="0.78740157499999996" bottom="0.78740157499999996"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4"/>
  <sheetViews>
    <sheetView showGridLines="0" showRowColHeaders="0" workbookViewId="0">
      <selection activeCell="C34" sqref="C34"/>
    </sheetView>
  </sheetViews>
  <sheetFormatPr baseColWidth="10" defaultColWidth="11.42578125" defaultRowHeight="15" x14ac:dyDescent="0.25"/>
  <cols>
    <col min="3" max="3" width="80" customWidth="1"/>
  </cols>
  <sheetData>
    <row r="3" spans="3:7" x14ac:dyDescent="0.25">
      <c r="C3" s="28" t="s">
        <v>336</v>
      </c>
      <c r="D3" s="28" t="s">
        <v>41</v>
      </c>
      <c r="E3" s="28"/>
      <c r="F3" s="28"/>
      <c r="G3" s="28"/>
    </row>
    <row r="4" spans="3:7" x14ac:dyDescent="0.25">
      <c r="C4" s="31" t="s">
        <v>332</v>
      </c>
      <c r="D4" s="5">
        <v>0.5</v>
      </c>
      <c r="E4" s="31"/>
      <c r="F4" s="31"/>
      <c r="G4" s="31"/>
    </row>
    <row r="5" spans="3:7" x14ac:dyDescent="0.25">
      <c r="C5" s="31" t="s">
        <v>333</v>
      </c>
      <c r="D5" s="5">
        <v>0.7</v>
      </c>
      <c r="E5" s="31"/>
      <c r="F5" s="31"/>
      <c r="G5" s="31"/>
    </row>
    <row r="6" spans="3:7" x14ac:dyDescent="0.25">
      <c r="C6" s="31" t="s">
        <v>334</v>
      </c>
      <c r="D6" s="5">
        <v>1</v>
      </c>
      <c r="E6" s="31"/>
      <c r="F6" s="31"/>
      <c r="G6" s="31"/>
    </row>
    <row r="7" spans="3:7" x14ac:dyDescent="0.25">
      <c r="C7" s="31" t="s">
        <v>335</v>
      </c>
      <c r="D7" s="5">
        <v>1.2</v>
      </c>
    </row>
    <row r="8" spans="3:7" x14ac:dyDescent="0.25">
      <c r="C8" s="33"/>
      <c r="D8" s="7"/>
    </row>
    <row r="11" spans="3:7" x14ac:dyDescent="0.25">
      <c r="C11" s="32"/>
    </row>
    <row r="12" spans="3:7" x14ac:dyDescent="0.25">
      <c r="C12" s="32"/>
    </row>
    <row r="13" spans="3:7" x14ac:dyDescent="0.25">
      <c r="C13" s="32"/>
    </row>
    <row r="14" spans="3:7" x14ac:dyDescent="0.25">
      <c r="C14" s="32"/>
    </row>
  </sheetData>
  <sheetProtection algorithmName="SHA-512" hashValue="eCMgPTkdNmhrtWtPIWElyBhE/Zy1abf+k6+9qs4GZxDzT5J51f/TLez8jzYJlKWWmjWsB2hnbAMb0CQPMf4iIQ==" saltValue="RnmMxjXos5HH9H3QR4k4dQ==" spinCount="100000" sheet="1" objects="1" scenarios="1"/>
  <pageMargins left="0.7" right="0.7" top="0.78740157499999996" bottom="0.78740157499999996"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E1:Q206"/>
  <sheetViews>
    <sheetView showGridLines="0" showRowColHeaders="0" topLeftCell="D1" zoomScaleNormal="100" workbookViewId="0">
      <selection activeCell="O53" sqref="O53"/>
    </sheetView>
  </sheetViews>
  <sheetFormatPr baseColWidth="10" defaultColWidth="11.42578125" defaultRowHeight="15" x14ac:dyDescent="0.25"/>
  <cols>
    <col min="1" max="4" width="11.42578125" style="87"/>
    <col min="5" max="5" width="14.5703125" style="87" customWidth="1"/>
    <col min="6" max="6" width="12" style="87" customWidth="1"/>
    <col min="7" max="7" width="11.42578125" style="87"/>
    <col min="8" max="8" width="17.140625" style="87" customWidth="1"/>
    <col min="9" max="9" width="11.42578125" style="87"/>
    <col min="10" max="12" width="13.28515625" style="87" customWidth="1"/>
    <col min="13" max="16384" width="11.42578125" style="87"/>
  </cols>
  <sheetData>
    <row r="1" spans="5:14" ht="21" x14ac:dyDescent="0.25">
      <c r="E1" s="86" t="s">
        <v>325</v>
      </c>
      <c r="F1" s="303"/>
      <c r="G1" s="303"/>
      <c r="H1" s="303"/>
      <c r="I1" s="303"/>
      <c r="J1" s="304">
        <f ca="1">TODAY()</f>
        <v>45782</v>
      </c>
      <c r="K1" s="306"/>
      <c r="L1" s="307"/>
    </row>
    <row r="2" spans="5:14" ht="21.75" thickBot="1" x14ac:dyDescent="0.3">
      <c r="E2" s="88" t="s">
        <v>326</v>
      </c>
      <c r="F2" s="310"/>
      <c r="G2" s="310"/>
      <c r="H2" s="310"/>
      <c r="I2" s="310"/>
      <c r="J2" s="305"/>
      <c r="K2" s="308"/>
      <c r="L2" s="309"/>
    </row>
    <row r="3" spans="5:14" ht="20.25" customHeight="1" x14ac:dyDescent="0.25">
      <c r="E3" s="89" t="s">
        <v>327</v>
      </c>
    </row>
    <row r="4" spans="5:14" ht="20.25" customHeight="1" x14ac:dyDescent="0.25"/>
    <row r="5" spans="5:14" ht="20.25" customHeight="1" x14ac:dyDescent="0.25">
      <c r="E5" s="249" t="s">
        <v>537</v>
      </c>
      <c r="F5" s="90" t="s">
        <v>328</v>
      </c>
    </row>
    <row r="6" spans="5:14" ht="20.25" customHeight="1" x14ac:dyDescent="0.25">
      <c r="E6" s="249" t="s">
        <v>538</v>
      </c>
      <c r="F6" s="90" t="s">
        <v>329</v>
      </c>
    </row>
    <row r="7" spans="5:14" ht="20.25" customHeight="1" x14ac:dyDescent="0.25">
      <c r="E7" s="249" t="s">
        <v>539</v>
      </c>
      <c r="F7" s="90" t="s">
        <v>330</v>
      </c>
      <c r="I7" s="91"/>
      <c r="J7" s="92"/>
      <c r="K7" s="93"/>
      <c r="L7" s="93"/>
    </row>
    <row r="8" spans="5:14" ht="20.25" customHeight="1" x14ac:dyDescent="0.25">
      <c r="E8" s="249" t="s">
        <v>540</v>
      </c>
      <c r="F8" s="90" t="s">
        <v>331</v>
      </c>
      <c r="I8" s="93"/>
      <c r="J8" s="92"/>
      <c r="K8" s="93"/>
      <c r="L8" s="93"/>
    </row>
    <row r="9" spans="5:14" ht="24" customHeight="1" thickBot="1" x14ac:dyDescent="0.3">
      <c r="L9" s="94"/>
    </row>
    <row r="10" spans="5:14" ht="15" customHeight="1" x14ac:dyDescent="0.25">
      <c r="E10" s="311" t="s">
        <v>360</v>
      </c>
      <c r="F10" s="312"/>
      <c r="G10" s="312"/>
      <c r="H10" s="312"/>
      <c r="I10" s="315" t="s">
        <v>29</v>
      </c>
      <c r="J10" s="317" t="s">
        <v>30</v>
      </c>
      <c r="K10" s="319" t="s">
        <v>321</v>
      </c>
      <c r="L10" s="320" t="s">
        <v>31</v>
      </c>
    </row>
    <row r="11" spans="5:14" ht="15" customHeight="1" x14ac:dyDescent="0.25">
      <c r="E11" s="313"/>
      <c r="F11" s="314"/>
      <c r="G11" s="314"/>
      <c r="H11" s="314"/>
      <c r="I11" s="316"/>
      <c r="J11" s="318"/>
      <c r="K11" s="318"/>
      <c r="L11" s="321"/>
    </row>
    <row r="12" spans="5:14" ht="20.100000000000001" customHeight="1" x14ac:dyDescent="0.25">
      <c r="E12" s="274" t="s">
        <v>337</v>
      </c>
      <c r="F12" s="275"/>
      <c r="G12" s="275"/>
      <c r="H12" s="275"/>
      <c r="I12" s="8">
        <v>10</v>
      </c>
      <c r="J12" s="95" t="str">
        <f>IF($E$10='5'!$M$38,'5'!E9,IF('1'!$E$10='5'!$M$39,'5'!F9,IF($E$10='5'!$M$40,'5'!G9,IF('1'!$E$10='5'!$M$41,'5'!H9,""))))</f>
        <v>0,5</v>
      </c>
      <c r="K12" s="95" t="s">
        <v>32</v>
      </c>
      <c r="L12" s="130">
        <f t="shared" ref="L12:L17" si="0">IF(I12="","",I12*J12)</f>
        <v>5</v>
      </c>
      <c r="M12" s="96"/>
      <c r="N12" s="96"/>
    </row>
    <row r="13" spans="5:14" ht="20.100000000000001" customHeight="1" x14ac:dyDescent="0.25">
      <c r="E13" s="274" t="s">
        <v>338</v>
      </c>
      <c r="F13" s="275"/>
      <c r="G13" s="275"/>
      <c r="H13" s="275"/>
      <c r="I13" s="8"/>
      <c r="J13" s="95" t="str">
        <f>IF($E$10='5'!$M$38,'5'!E10,IF('1'!$E$10='5'!$M$39,'5'!F10,IF($E$10='5'!$M$40,'5'!G10,IF('1'!$E$10='5'!$M$41,'5'!H10,""))))</f>
        <v>0,6</v>
      </c>
      <c r="K13" s="95" t="s">
        <v>33</v>
      </c>
      <c r="L13" s="130" t="str">
        <f>IF(I13="","",I13*J13)</f>
        <v/>
      </c>
      <c r="M13" s="97"/>
      <c r="N13" s="97"/>
    </row>
    <row r="14" spans="5:14" ht="20.100000000000001" customHeight="1" x14ac:dyDescent="0.25">
      <c r="E14" s="274" t="s">
        <v>339</v>
      </c>
      <c r="F14" s="275"/>
      <c r="G14" s="275"/>
      <c r="H14" s="275"/>
      <c r="I14" s="8"/>
      <c r="J14" s="95" t="str">
        <f>IF($E$10='5'!$M$38,'5'!E11,IF('1'!$E$10='5'!$M$39,'5'!F11,IF($E$10='5'!$M$40,'5'!G11,IF('1'!$E$10='5'!$M$41,'5'!H11,""))))</f>
        <v>0,8</v>
      </c>
      <c r="K14" s="95" t="s">
        <v>33</v>
      </c>
      <c r="L14" s="130" t="str">
        <f t="shared" si="0"/>
        <v/>
      </c>
      <c r="M14" s="97"/>
      <c r="N14" s="97"/>
    </row>
    <row r="15" spans="5:14" ht="20.100000000000001" customHeight="1" x14ac:dyDescent="0.25">
      <c r="E15" s="274" t="s">
        <v>340</v>
      </c>
      <c r="F15" s="275"/>
      <c r="G15" s="275"/>
      <c r="H15" s="275"/>
      <c r="I15" s="8"/>
      <c r="J15" s="95" t="str">
        <f>IF($E$10='5'!$M$38,'5'!E12,IF('1'!$E$10='5'!$M$39,'5'!F12,IF($E$10='5'!$M$40,'5'!G12,IF('1'!$E$10='5'!$M$41,'5'!H12,""))))</f>
        <v>0,8</v>
      </c>
      <c r="K15" s="95" t="s">
        <v>33</v>
      </c>
      <c r="L15" s="130" t="str">
        <f t="shared" si="0"/>
        <v/>
      </c>
      <c r="M15" s="97"/>
      <c r="N15" s="97"/>
    </row>
    <row r="16" spans="5:14" ht="20.100000000000001" customHeight="1" x14ac:dyDescent="0.25">
      <c r="E16" s="274" t="s">
        <v>341</v>
      </c>
      <c r="F16" s="275"/>
      <c r="G16" s="275"/>
      <c r="H16" s="275"/>
      <c r="I16" s="8"/>
      <c r="J16" s="95" t="str">
        <f>IF($E$10='5'!$M$38,'5'!E13,IF('1'!$E$10='5'!$M$39,'5'!F13,IF($E$10='5'!$M$40,'5'!G13,IF('1'!$E$10='5'!$M$41,'5'!H13,""))))</f>
        <v>0,5</v>
      </c>
      <c r="K16" s="95" t="s">
        <v>33</v>
      </c>
      <c r="L16" s="130" t="str">
        <f t="shared" si="0"/>
        <v/>
      </c>
      <c r="M16" s="98"/>
      <c r="N16" s="98"/>
    </row>
    <row r="17" spans="5:14" ht="20.100000000000001" customHeight="1" x14ac:dyDescent="0.25">
      <c r="E17" s="274" t="s">
        <v>342</v>
      </c>
      <c r="F17" s="275"/>
      <c r="G17" s="275"/>
      <c r="H17" s="275"/>
      <c r="I17" s="8">
        <v>1</v>
      </c>
      <c r="J17" s="95">
        <f>IF($E$10='5'!$M$38,'5'!E14,IF('1'!$E$10='5'!$M$39,'5'!F14,IF($E$10='5'!$M$40,'5'!G14,IF('1'!$E$10='5'!$M$41,'5'!H14,""))))</f>
        <v>0.2</v>
      </c>
      <c r="K17" s="95" t="s">
        <v>33</v>
      </c>
      <c r="L17" s="130">
        <f t="shared" si="0"/>
        <v>0.2</v>
      </c>
      <c r="M17" s="98"/>
      <c r="N17" s="98"/>
    </row>
    <row r="18" spans="5:14" ht="20.100000000000001" customHeight="1" x14ac:dyDescent="0.25">
      <c r="E18" s="274" t="s">
        <v>343</v>
      </c>
      <c r="F18" s="275"/>
      <c r="G18" s="275"/>
      <c r="H18" s="275"/>
      <c r="I18" s="8">
        <v>10</v>
      </c>
      <c r="J18" s="95">
        <f>IF($E$10='5'!$M$38,'5'!E15,IF('1'!$E$10='5'!$M$39,'5'!F15,IF($E$10='5'!$M$40,'5'!G15,IF('1'!$E$10='5'!$M$41,'5'!H15,""))))</f>
        <v>0.1</v>
      </c>
      <c r="K18" s="95" t="s">
        <v>33</v>
      </c>
      <c r="L18" s="130">
        <f>IFERROR(IF(I18="","",I18*J18),"")</f>
        <v>1</v>
      </c>
      <c r="M18" s="98"/>
      <c r="N18" s="98"/>
    </row>
    <row r="19" spans="5:14" ht="20.100000000000001" customHeight="1" x14ac:dyDescent="0.25">
      <c r="E19" s="274" t="s">
        <v>344</v>
      </c>
      <c r="F19" s="275"/>
      <c r="G19" s="275"/>
      <c r="H19" s="275"/>
      <c r="I19" s="8"/>
      <c r="J19" s="95" t="str">
        <f>IF($E$10='5'!$M$38,'5'!E16,IF('1'!$E$10='5'!$M$39,'5'!F16,IF($E$10='5'!$M$40,'5'!G16,IF('1'!$E$10='5'!$M$41,'5'!H16,""))))</f>
        <v>0,8</v>
      </c>
      <c r="K19" s="95" t="s">
        <v>33</v>
      </c>
      <c r="L19" s="130" t="str">
        <f>IF(I19="","",I19*J19)</f>
        <v/>
      </c>
      <c r="M19" s="98"/>
      <c r="N19" s="98"/>
    </row>
    <row r="20" spans="5:14" ht="20.100000000000001" customHeight="1" x14ac:dyDescent="0.25">
      <c r="E20" s="297" t="s">
        <v>345</v>
      </c>
      <c r="F20" s="294"/>
      <c r="G20" s="294"/>
      <c r="H20" s="294"/>
      <c r="I20" s="291">
        <v>10</v>
      </c>
      <c r="J20" s="275">
        <f>IF($E$10='5'!$M$38,'5'!E17,IF('1'!$E$10='5'!$M$39,'5'!F17,IF($E$10='5'!$M$40,'5'!G17,IF('1'!$E$10='5'!$M$41,'5'!H17,""))))</f>
        <v>0.8</v>
      </c>
      <c r="K20" s="301" t="s">
        <v>33</v>
      </c>
      <c r="L20" s="295">
        <f>IFERROR(IF(I20="","",I20*J20),"")</f>
        <v>8</v>
      </c>
      <c r="M20" s="98"/>
      <c r="N20" s="98"/>
    </row>
    <row r="21" spans="5:14" ht="20.100000000000001" customHeight="1" x14ac:dyDescent="0.25">
      <c r="E21" s="297"/>
      <c r="F21" s="294"/>
      <c r="G21" s="294"/>
      <c r="H21" s="294"/>
      <c r="I21" s="292"/>
      <c r="J21" s="275" t="str">
        <f>IF($E$10='5'!$M$38,'5'!E20,IF('1'!$E$10='5'!$M$39,'5'!F20,IF($E$10='5'!$M$40,'5'!G20,IF('1'!$E$10='5'!$M$41,'5'!H20,""))))</f>
        <v>0,8</v>
      </c>
      <c r="K21" s="302"/>
      <c r="L21" s="296"/>
      <c r="M21" s="98"/>
      <c r="N21" s="98"/>
    </row>
    <row r="22" spans="5:14" ht="20.100000000000001" customHeight="1" x14ac:dyDescent="0.25">
      <c r="E22" s="274" t="s">
        <v>346</v>
      </c>
      <c r="F22" s="275"/>
      <c r="G22" s="275"/>
      <c r="H22" s="275"/>
      <c r="I22" s="8"/>
      <c r="J22" s="95" t="str">
        <f>IF($E$10='5'!$M$38,'5'!E18,IF('1'!$E$10='5'!$M$39,'5'!F18,IF($E$10='5'!$M$40,'5'!G18,IF('1'!$E$10='5'!$M$41,'5'!H18,""))))</f>
        <v>0,8</v>
      </c>
      <c r="K22" s="95" t="s">
        <v>33</v>
      </c>
      <c r="L22" s="130" t="str">
        <f>IF(I22="","",I22*J22)</f>
        <v/>
      </c>
      <c r="M22" s="98"/>
      <c r="N22" s="98"/>
    </row>
    <row r="23" spans="5:14" ht="20.100000000000001" customHeight="1" x14ac:dyDescent="0.25">
      <c r="E23" s="274" t="s">
        <v>347</v>
      </c>
      <c r="F23" s="275"/>
      <c r="G23" s="275"/>
      <c r="H23" s="275"/>
      <c r="I23" s="8"/>
      <c r="J23" s="95" t="str">
        <f>IF($E$10='5'!$M$38,'5'!E19,IF('1'!$E$10='5'!$M$39,'5'!F19,IF($E$10='5'!$M$40,'5'!G19,IF('1'!$E$10='5'!$M$41,'5'!H19,""))))</f>
        <v>0,8</v>
      </c>
      <c r="K23" s="95" t="s">
        <v>33</v>
      </c>
      <c r="L23" s="130" t="str">
        <f t="shared" ref="L23:L29" si="1">IF(I23="","",I23*J23)</f>
        <v/>
      </c>
      <c r="M23" s="98"/>
      <c r="N23" s="98"/>
    </row>
    <row r="24" spans="5:14" ht="20.100000000000001" customHeight="1" x14ac:dyDescent="0.25">
      <c r="E24" s="274" t="s">
        <v>348</v>
      </c>
      <c r="F24" s="275"/>
      <c r="G24" s="275"/>
      <c r="H24" s="275"/>
      <c r="I24" s="8"/>
      <c r="J24" s="95" t="str">
        <f>IF($E$10='5'!$M$38,'5'!E20,IF('1'!$E$10='5'!$M$39,'5'!F20,IF($E$10='5'!$M$40,'5'!G20,IF('1'!$E$10='5'!$M$41,'5'!H20,""))))</f>
        <v>0,8</v>
      </c>
      <c r="K24" s="95" t="s">
        <v>33</v>
      </c>
      <c r="L24" s="130" t="str">
        <f t="shared" si="1"/>
        <v/>
      </c>
      <c r="M24" s="98"/>
      <c r="N24" s="98"/>
    </row>
    <row r="25" spans="5:14" ht="20.100000000000001" customHeight="1" x14ac:dyDescent="0.25">
      <c r="E25" s="299" t="s">
        <v>349</v>
      </c>
      <c r="F25" s="300"/>
      <c r="G25" s="300"/>
      <c r="H25" s="300"/>
      <c r="I25" s="8"/>
      <c r="J25" s="95" t="str">
        <f>IF($E$10='5'!$M$38,'5'!E21,IF('1'!$E$10='5'!$M$39,'5'!F21,IF($E$10='5'!$M$40,'5'!G21,IF('1'!$E$10='5'!$M$41,'5'!H21,""))))</f>
        <v>1,5</v>
      </c>
      <c r="K25" s="95" t="s">
        <v>34</v>
      </c>
      <c r="L25" s="130" t="str">
        <f t="shared" si="1"/>
        <v/>
      </c>
      <c r="M25" s="98"/>
      <c r="N25" s="98"/>
    </row>
    <row r="26" spans="5:14" ht="20.100000000000001" customHeight="1" x14ac:dyDescent="0.25">
      <c r="E26" s="299" t="s">
        <v>350</v>
      </c>
      <c r="F26" s="300"/>
      <c r="G26" s="300"/>
      <c r="H26" s="300"/>
      <c r="I26" s="8">
        <v>1</v>
      </c>
      <c r="J26" s="95">
        <f>IF($E$10='5'!$M$38,'5'!E22,IF('1'!$E$10='5'!$M$39,'5'!F22,IF($E$10='5'!$M$40,'5'!G22,IF('1'!$E$10='5'!$M$41,'5'!H22,""))))</f>
        <v>1.8</v>
      </c>
      <c r="K26" s="95" t="s">
        <v>35</v>
      </c>
      <c r="L26" s="130">
        <f>IFERROR(IF(I26="","",I26*J26),"")</f>
        <v>1.8</v>
      </c>
      <c r="M26" s="99"/>
      <c r="N26" s="99"/>
    </row>
    <row r="27" spans="5:14" ht="20.100000000000001" customHeight="1" x14ac:dyDescent="0.25">
      <c r="E27" s="289" t="s">
        <v>351</v>
      </c>
      <c r="F27" s="290"/>
      <c r="G27" s="290"/>
      <c r="H27" s="290"/>
      <c r="I27" s="291"/>
      <c r="J27" s="293" t="str">
        <f>IF($E$10='5'!$M$38,'5'!E23,IF('1'!$E$10='5'!$M$39,'5'!F23,IF($E$10='5'!$M$40,'5'!G23,IF('1'!$E$10='5'!$M$41,'5'!H23,""))))</f>
        <v>2,0</v>
      </c>
      <c r="K27" s="294" t="s">
        <v>36</v>
      </c>
      <c r="L27" s="295" t="str">
        <f t="shared" si="1"/>
        <v/>
      </c>
      <c r="M27" s="99"/>
      <c r="N27" s="99"/>
    </row>
    <row r="28" spans="5:14" ht="20.100000000000001" customHeight="1" x14ac:dyDescent="0.25">
      <c r="E28" s="289"/>
      <c r="F28" s="290"/>
      <c r="G28" s="290"/>
      <c r="H28" s="290"/>
      <c r="I28" s="292"/>
      <c r="J28" s="293" t="str">
        <f>IF($E$10='5'!$M$38,'5'!E27,IF('1'!$E$10='5'!$M$39,'5'!F27,IF($E$10='5'!$M$40,'5'!G27,IF('1'!$E$10='5'!$M$41,'5'!H27,""))))</f>
        <v>1,5</v>
      </c>
      <c r="K28" s="294"/>
      <c r="L28" s="296"/>
      <c r="M28" s="99"/>
      <c r="N28" s="99"/>
    </row>
    <row r="29" spans="5:14" ht="20.100000000000001" customHeight="1" x14ac:dyDescent="0.25">
      <c r="E29" s="297" t="s">
        <v>352</v>
      </c>
      <c r="F29" s="294"/>
      <c r="G29" s="294"/>
      <c r="H29" s="294"/>
      <c r="I29" s="291"/>
      <c r="J29" s="293" t="str">
        <f>IF($E$10='5'!$M$38,'5'!E24,IF('1'!$E$10='5'!$M$39,'5'!F24,IF($E$10='5'!$M$40,'5'!G24,IF('1'!$E$10='5'!$M$41,'5'!H24,""))))</f>
        <v>2,0</v>
      </c>
      <c r="K29" s="298" t="s">
        <v>37</v>
      </c>
      <c r="L29" s="295" t="str">
        <f t="shared" si="1"/>
        <v/>
      </c>
      <c r="M29" s="99"/>
      <c r="N29" s="99"/>
    </row>
    <row r="30" spans="5:14" ht="20.100000000000001" customHeight="1" x14ac:dyDescent="0.25">
      <c r="E30" s="297"/>
      <c r="F30" s="294"/>
      <c r="G30" s="294"/>
      <c r="H30" s="294"/>
      <c r="I30" s="292"/>
      <c r="J30" s="293">
        <f>IF($E$10='5'!$M$38,'5'!E29,IF('1'!$E$10='5'!$M$39,'5'!F29,IF($E$10='5'!$M$40,'5'!G29,IF('1'!$E$10='5'!$M$41,'5'!H29,""))))</f>
        <v>0</v>
      </c>
      <c r="K30" s="298"/>
      <c r="L30" s="296"/>
      <c r="M30" s="99"/>
      <c r="N30" s="99"/>
    </row>
    <row r="31" spans="5:14" ht="20.100000000000001" customHeight="1" x14ac:dyDescent="0.25">
      <c r="E31" s="274" t="s">
        <v>353</v>
      </c>
      <c r="F31" s="275"/>
      <c r="G31" s="275"/>
      <c r="H31" s="275"/>
      <c r="I31" s="8"/>
      <c r="J31" s="100" t="str">
        <f>IF($E$10='5'!$M$38,'5'!E25,IF('1'!$E$10='5'!$M$39,'5'!F25,IF($E$10='5'!$M$40,'5'!G25,IF('1'!$E$10='5'!$M$41,'5'!H25,""))))</f>
        <v>2,5</v>
      </c>
      <c r="K31" s="95" t="s">
        <v>38</v>
      </c>
      <c r="L31" s="130" t="str">
        <f>IF(I31="","",I31*J31)</f>
        <v/>
      </c>
      <c r="M31" s="99"/>
      <c r="N31" s="99"/>
    </row>
    <row r="32" spans="5:14" ht="20.100000000000001" customHeight="1" x14ac:dyDescent="0.25">
      <c r="E32" s="274" t="s">
        <v>354</v>
      </c>
      <c r="F32" s="275"/>
      <c r="G32" s="275"/>
      <c r="H32" s="275"/>
      <c r="I32" s="8">
        <v>1</v>
      </c>
      <c r="J32" s="100" t="str">
        <f>IF($E$10='5'!$M$38,'5'!E26,IF('1'!$E$10='5'!$M$39,'5'!F26,IF($E$10='5'!$M$40,'5'!G26,IF('1'!$E$10='5'!$M$41,'5'!H26,""))))</f>
        <v>0,8</v>
      </c>
      <c r="K32" s="95" t="s">
        <v>33</v>
      </c>
      <c r="L32" s="130">
        <f>IFERROR(IF(I32="","",I32*J32),"")</f>
        <v>0.8</v>
      </c>
      <c r="M32" s="99"/>
      <c r="N32" s="99"/>
    </row>
    <row r="33" spans="5:17" ht="20.100000000000001" customHeight="1" x14ac:dyDescent="0.25">
      <c r="E33" s="274" t="s">
        <v>541</v>
      </c>
      <c r="F33" s="275"/>
      <c r="G33" s="275"/>
      <c r="H33" s="275"/>
      <c r="I33" s="8">
        <v>1</v>
      </c>
      <c r="J33" s="100" t="str">
        <f>IF($E$10='5'!$M$38,'5'!E27,IF('1'!$E$10='5'!$M$39,'5'!F27,IF($E$10='5'!$M$40,'5'!G27,IF('1'!$E$10='5'!$M$41,'5'!H27,""))))</f>
        <v>1,5</v>
      </c>
      <c r="K33" s="95" t="s">
        <v>39</v>
      </c>
      <c r="L33" s="130">
        <f>IFERROR(IF(I33="","",I33*J33),"")</f>
        <v>1.5</v>
      </c>
      <c r="M33" s="99"/>
      <c r="N33" s="99"/>
    </row>
    <row r="34" spans="5:17" ht="20.100000000000001" customHeight="1" x14ac:dyDescent="0.25">
      <c r="E34" s="274" t="s">
        <v>356</v>
      </c>
      <c r="F34" s="275"/>
      <c r="G34" s="275"/>
      <c r="H34" s="275"/>
      <c r="I34" s="8">
        <v>1</v>
      </c>
      <c r="J34" s="100" t="str">
        <f>IF($E$10='5'!$M$38,'5'!E28,IF('1'!$E$10='5'!$M$39,'5'!F28,IF($E$10='5'!$M$40,'5'!G28,IF('1'!$E$10='5'!$M$41,'5'!H28,""))))</f>
        <v>2,0</v>
      </c>
      <c r="K34" s="95" t="s">
        <v>38</v>
      </c>
      <c r="L34" s="130">
        <f>IFERROR(IF(I34="","",I34*J34),"")</f>
        <v>2</v>
      </c>
      <c r="M34" s="101"/>
      <c r="N34" s="101"/>
    </row>
    <row r="35" spans="5:17" ht="15" customHeight="1" x14ac:dyDescent="0.25">
      <c r="E35" s="276" t="s">
        <v>357</v>
      </c>
      <c r="F35" s="277"/>
      <c r="G35" s="277"/>
      <c r="H35" s="277"/>
      <c r="I35" s="277"/>
      <c r="J35" s="277"/>
      <c r="K35" s="277"/>
      <c r="L35" s="278"/>
      <c r="M35" s="101"/>
      <c r="N35" s="101"/>
    </row>
    <row r="36" spans="5:17" x14ac:dyDescent="0.25">
      <c r="E36" s="279"/>
      <c r="F36" s="280"/>
      <c r="G36" s="280"/>
      <c r="H36" s="280"/>
      <c r="I36" s="280"/>
      <c r="J36" s="280"/>
      <c r="K36" s="280"/>
      <c r="L36" s="281"/>
    </row>
    <row r="37" spans="5:17" x14ac:dyDescent="0.25">
      <c r="E37" s="279"/>
      <c r="F37" s="280"/>
      <c r="G37" s="280"/>
      <c r="H37" s="280"/>
      <c r="I37" s="280"/>
      <c r="J37" s="280"/>
      <c r="K37" s="280"/>
      <c r="L37" s="281"/>
    </row>
    <row r="38" spans="5:17" x14ac:dyDescent="0.25">
      <c r="E38" s="279"/>
      <c r="F38" s="280"/>
      <c r="G38" s="280"/>
      <c r="H38" s="280"/>
      <c r="I38" s="280"/>
      <c r="J38" s="280"/>
      <c r="K38" s="280"/>
      <c r="L38" s="281"/>
    </row>
    <row r="39" spans="5:17" ht="43.5" customHeight="1" x14ac:dyDescent="0.25">
      <c r="E39" s="282"/>
      <c r="F39" s="283"/>
      <c r="G39" s="283"/>
      <c r="H39" s="283"/>
      <c r="I39" s="283"/>
      <c r="J39" s="283"/>
      <c r="K39" s="283"/>
      <c r="L39" s="284"/>
      <c r="M39" s="101"/>
      <c r="N39" s="101"/>
    </row>
    <row r="40" spans="5:17" ht="17.25" customHeight="1" x14ac:dyDescent="0.25">
      <c r="E40" s="101"/>
      <c r="F40" s="101"/>
      <c r="G40" s="101"/>
      <c r="H40" s="101"/>
      <c r="I40" s="101"/>
      <c r="J40" s="101"/>
      <c r="K40" s="101"/>
      <c r="L40" s="101"/>
      <c r="M40" s="101"/>
      <c r="N40" s="101"/>
    </row>
    <row r="41" spans="5:17" ht="20.100000000000001" customHeight="1" x14ac:dyDescent="0.25">
      <c r="E41" s="101"/>
      <c r="F41" s="101"/>
      <c r="G41" s="101"/>
      <c r="H41" s="101"/>
      <c r="I41" s="101"/>
      <c r="J41" s="102" t="s">
        <v>358</v>
      </c>
      <c r="K41" s="131">
        <f>SUM(L12:L34)</f>
        <v>20.3</v>
      </c>
      <c r="L41" s="103" t="s">
        <v>40</v>
      </c>
      <c r="M41" s="101"/>
      <c r="N41" s="101"/>
    </row>
    <row r="42" spans="5:17" ht="20.100000000000001" customHeight="1" thickBot="1" x14ac:dyDescent="0.3">
      <c r="E42" s="104"/>
      <c r="F42" s="105"/>
      <c r="G42" s="105"/>
      <c r="H42" s="105"/>
      <c r="I42" s="105"/>
      <c r="J42" s="105"/>
      <c r="K42" s="105"/>
      <c r="L42" s="105"/>
      <c r="M42" s="105"/>
      <c r="N42" s="105"/>
    </row>
    <row r="43" spans="5:17" ht="36" customHeight="1" x14ac:dyDescent="0.25">
      <c r="E43" s="285" t="s">
        <v>359</v>
      </c>
      <c r="F43" s="286"/>
      <c r="G43" s="286"/>
      <c r="H43" s="286"/>
      <c r="I43" s="286"/>
      <c r="J43" s="286"/>
      <c r="K43" s="287" t="s">
        <v>41</v>
      </c>
      <c r="L43" s="288"/>
      <c r="M43" s="101"/>
      <c r="N43" s="101"/>
    </row>
    <row r="44" spans="5:17" ht="20.100000000000001" customHeight="1" thickBot="1" x14ac:dyDescent="0.3">
      <c r="E44" s="260" t="s">
        <v>332</v>
      </c>
      <c r="F44" s="261"/>
      <c r="G44" s="261"/>
      <c r="H44" s="261"/>
      <c r="I44" s="261"/>
      <c r="J44" s="262"/>
      <c r="K44" s="263">
        <f>IFERROR(VLOOKUP($E$44,'10'!C4:D8,2,0),"")</f>
        <v>0.5</v>
      </c>
      <c r="L44" s="264"/>
      <c r="M44" s="101"/>
      <c r="N44" s="101"/>
    </row>
    <row r="45" spans="5:17" ht="20.100000000000001" customHeight="1" x14ac:dyDescent="0.25">
      <c r="E45" s="101"/>
      <c r="L45" s="91"/>
      <c r="M45" s="101"/>
      <c r="N45" s="101"/>
      <c r="Q45" s="106"/>
    </row>
    <row r="46" spans="5:17" ht="20.100000000000001" customHeight="1" x14ac:dyDescent="0.25">
      <c r="E46" s="105"/>
      <c r="J46" s="107" t="s">
        <v>42</v>
      </c>
      <c r="K46" s="132">
        <f>IFERROR(K44*(K41^0.5),"")</f>
        <v>2.2527760652137618</v>
      </c>
      <c r="L46" s="103" t="s">
        <v>40</v>
      </c>
      <c r="M46" s="105"/>
      <c r="N46" s="105"/>
      <c r="Q46" s="106"/>
    </row>
    <row r="47" spans="5:17" ht="20.100000000000001" customHeight="1" thickBot="1" x14ac:dyDescent="0.3">
      <c r="E47" s="104"/>
      <c r="F47" s="105"/>
      <c r="G47" s="105"/>
      <c r="H47" s="105"/>
      <c r="I47" s="105"/>
      <c r="J47" s="105"/>
      <c r="K47" s="105"/>
      <c r="L47" s="105"/>
      <c r="M47" s="105"/>
      <c r="N47" s="105"/>
      <c r="Q47" s="106"/>
    </row>
    <row r="48" spans="5:17" ht="20.100000000000001" customHeight="1" x14ac:dyDescent="0.25">
      <c r="E48" s="265" t="s">
        <v>384</v>
      </c>
      <c r="F48" s="266"/>
      <c r="G48" s="266"/>
      <c r="H48" s="266"/>
      <c r="I48" s="266"/>
      <c r="J48" s="266"/>
      <c r="K48" s="266"/>
      <c r="L48" s="267"/>
      <c r="M48" s="105"/>
      <c r="N48" s="105"/>
      <c r="Q48" s="106"/>
    </row>
    <row r="49" spans="5:14" ht="10.5" customHeight="1" x14ac:dyDescent="0.25">
      <c r="E49" s="268"/>
      <c r="F49" s="269"/>
      <c r="G49" s="269"/>
      <c r="H49" s="269"/>
      <c r="I49" s="269"/>
      <c r="J49" s="269"/>
      <c r="K49" s="269"/>
      <c r="L49" s="270"/>
      <c r="M49" s="105"/>
      <c r="N49" s="105"/>
    </row>
    <row r="50" spans="5:14" ht="10.5" customHeight="1" thickBot="1" x14ac:dyDescent="0.3">
      <c r="E50" s="271"/>
      <c r="F50" s="272"/>
      <c r="G50" s="272"/>
      <c r="H50" s="272"/>
      <c r="I50" s="272"/>
      <c r="J50" s="272"/>
      <c r="K50" s="272"/>
      <c r="L50" s="273"/>
      <c r="M50" s="105"/>
      <c r="N50" s="105"/>
    </row>
    <row r="51" spans="5:14" ht="20.100000000000001" customHeight="1" thickBot="1" x14ac:dyDescent="0.3">
      <c r="E51" s="104"/>
      <c r="F51" s="105"/>
      <c r="G51" s="105"/>
      <c r="H51" s="105"/>
      <c r="I51" s="105"/>
      <c r="J51" s="105"/>
      <c r="K51" s="105"/>
      <c r="L51" s="105"/>
      <c r="M51" s="105"/>
      <c r="N51" s="105"/>
    </row>
    <row r="52" spans="5:14" ht="20.100000000000001" customHeight="1" thickBot="1" x14ac:dyDescent="0.3">
      <c r="E52" s="108" t="s">
        <v>385</v>
      </c>
      <c r="F52" s="105"/>
      <c r="G52" s="105"/>
      <c r="H52" s="105"/>
      <c r="I52" s="105"/>
      <c r="J52" s="107" t="s">
        <v>43</v>
      </c>
      <c r="K52" s="11"/>
      <c r="L52" s="103" t="s">
        <v>40</v>
      </c>
      <c r="M52" s="105"/>
      <c r="N52" s="105"/>
    </row>
    <row r="53" spans="5:14" ht="20.100000000000001" customHeight="1" x14ac:dyDescent="0.25">
      <c r="E53" s="104"/>
      <c r="F53" s="105"/>
      <c r="G53" s="105"/>
      <c r="H53" s="105"/>
      <c r="I53" s="105"/>
      <c r="J53" s="105"/>
      <c r="K53" s="105"/>
      <c r="L53" s="105"/>
      <c r="M53" s="105"/>
      <c r="N53" s="105"/>
    </row>
    <row r="54" spans="5:14" ht="20.100000000000001" customHeight="1" x14ac:dyDescent="0.35">
      <c r="E54" s="104"/>
      <c r="F54" s="109" t="s">
        <v>28</v>
      </c>
      <c r="G54" s="90" t="s">
        <v>330</v>
      </c>
      <c r="I54" s="105"/>
      <c r="J54" s="105"/>
      <c r="K54" s="105"/>
      <c r="L54" s="105"/>
      <c r="M54" s="105"/>
      <c r="N54" s="105"/>
    </row>
    <row r="55" spans="5:14" ht="20.100000000000001" customHeight="1" x14ac:dyDescent="0.25">
      <c r="E55" s="104"/>
      <c r="F55" s="104"/>
      <c r="G55" s="90" t="s">
        <v>386</v>
      </c>
      <c r="H55" s="105"/>
      <c r="I55" s="105"/>
      <c r="J55" s="105"/>
      <c r="K55" s="105"/>
      <c r="L55" s="105"/>
      <c r="M55" s="105"/>
      <c r="N55" s="105"/>
    </row>
    <row r="56" spans="5:14" ht="20.100000000000001" customHeight="1" thickBot="1" x14ac:dyDescent="0.3">
      <c r="E56" s="104"/>
      <c r="F56" s="105"/>
      <c r="G56" s="105"/>
      <c r="H56" s="105"/>
      <c r="I56" s="105"/>
      <c r="J56" s="105"/>
      <c r="K56" s="105"/>
      <c r="L56" s="105"/>
      <c r="M56" s="105"/>
      <c r="N56" s="105"/>
    </row>
    <row r="57" spans="5:14" ht="20.100000000000001" hidden="1" customHeight="1" x14ac:dyDescent="0.25">
      <c r="E57" s="90" t="s">
        <v>44</v>
      </c>
      <c r="F57" s="110"/>
      <c r="G57" s="12"/>
      <c r="H57" s="111" t="s">
        <v>45</v>
      </c>
      <c r="I57" s="109"/>
      <c r="J57" s="112" t="s">
        <v>46</v>
      </c>
      <c r="K57" s="113" t="str">
        <f>IF(M57=0,"",M57)</f>
        <v/>
      </c>
      <c r="L57" s="114" t="s">
        <v>40</v>
      </c>
      <c r="M57" s="115">
        <f>($G$57/10)/3600</f>
        <v>0</v>
      </c>
      <c r="N57" s="105"/>
    </row>
    <row r="58" spans="5:14" ht="20.100000000000001" hidden="1" customHeight="1" x14ac:dyDescent="0.25">
      <c r="E58" s="89"/>
      <c r="F58" s="110"/>
      <c r="G58" s="110"/>
      <c r="H58" s="110"/>
      <c r="I58" s="109"/>
      <c r="J58" s="110"/>
      <c r="K58" s="110"/>
      <c r="L58" s="110"/>
      <c r="M58" s="105"/>
      <c r="N58" s="105"/>
    </row>
    <row r="59" spans="5:14" ht="20.100000000000001" hidden="1" customHeight="1" x14ac:dyDescent="0.25">
      <c r="E59" s="90" t="s">
        <v>47</v>
      </c>
      <c r="F59" s="110"/>
      <c r="G59" s="12"/>
      <c r="H59" s="111" t="s">
        <v>45</v>
      </c>
      <c r="I59" s="109"/>
      <c r="J59" s="112" t="s">
        <v>48</v>
      </c>
      <c r="K59" s="113" t="str">
        <f>IF(M59=0,"",M59)</f>
        <v/>
      </c>
      <c r="L59" s="114" t="s">
        <v>40</v>
      </c>
      <c r="M59" s="115">
        <f>($G$57/10)/3600</f>
        <v>0</v>
      </c>
      <c r="N59" s="105"/>
    </row>
    <row r="60" spans="5:14" ht="20.100000000000001" hidden="1" customHeight="1" x14ac:dyDescent="0.25">
      <c r="E60" s="89"/>
      <c r="F60" s="110"/>
      <c r="G60" s="110"/>
      <c r="H60" s="110"/>
      <c r="I60" s="110"/>
      <c r="J60" s="110"/>
      <c r="K60" s="110"/>
      <c r="L60" s="110"/>
      <c r="M60" s="105"/>
      <c r="N60" s="105"/>
    </row>
    <row r="61" spans="5:14" ht="20.100000000000001" customHeight="1" thickBot="1" x14ac:dyDescent="0.3">
      <c r="E61" s="89" t="s">
        <v>388</v>
      </c>
      <c r="F61" s="110"/>
      <c r="G61" s="12"/>
      <c r="H61" s="110"/>
      <c r="I61" s="110"/>
      <c r="J61" s="112" t="s">
        <v>49</v>
      </c>
      <c r="K61" s="133">
        <f>(G63*G61)/3600</f>
        <v>0</v>
      </c>
      <c r="L61" s="114" t="s">
        <v>40</v>
      </c>
      <c r="M61" s="116">
        <f>G61*G63/3600</f>
        <v>0</v>
      </c>
      <c r="N61" s="105"/>
    </row>
    <row r="62" spans="5:14" ht="20.100000000000001" hidden="1" customHeight="1" x14ac:dyDescent="0.25">
      <c r="E62" s="90"/>
      <c r="F62" s="109"/>
      <c r="G62" s="12"/>
      <c r="H62" s="109"/>
      <c r="I62" s="109"/>
      <c r="J62" s="109"/>
      <c r="K62" s="109"/>
      <c r="L62" s="110"/>
      <c r="M62" s="105"/>
      <c r="N62" s="105"/>
    </row>
    <row r="63" spans="5:14" ht="20.100000000000001" customHeight="1" thickBot="1" x14ac:dyDescent="0.3">
      <c r="E63" s="89" t="s">
        <v>389</v>
      </c>
      <c r="F63" s="110"/>
      <c r="G63" s="12">
        <v>20</v>
      </c>
      <c r="H63" s="111" t="s">
        <v>50</v>
      </c>
      <c r="I63" s="90" t="s">
        <v>387</v>
      </c>
      <c r="J63" s="110"/>
      <c r="K63" s="110"/>
      <c r="L63" s="110"/>
      <c r="M63" s="105"/>
      <c r="N63" s="105"/>
    </row>
    <row r="64" spans="5:14" ht="20.100000000000001" customHeight="1" thickBot="1" x14ac:dyDescent="0.3">
      <c r="E64" s="117"/>
      <c r="F64" s="110"/>
      <c r="G64" s="110"/>
      <c r="H64" s="110"/>
      <c r="I64" s="110"/>
      <c r="J64" s="110"/>
      <c r="K64" s="110"/>
      <c r="L64" s="110"/>
      <c r="M64" s="105"/>
      <c r="N64" s="105"/>
    </row>
    <row r="65" spans="5:14" ht="20.100000000000001" customHeight="1" thickBot="1" x14ac:dyDescent="0.3">
      <c r="E65" s="12" t="s">
        <v>390</v>
      </c>
      <c r="F65" s="110"/>
      <c r="G65" s="12"/>
      <c r="H65" s="114" t="s">
        <v>40</v>
      </c>
      <c r="I65" s="110"/>
      <c r="J65" s="112" t="s">
        <v>51</v>
      </c>
      <c r="K65" s="133">
        <f>G65</f>
        <v>0</v>
      </c>
      <c r="L65" s="114" t="s">
        <v>40</v>
      </c>
      <c r="M65" s="115">
        <f>G65</f>
        <v>0</v>
      </c>
      <c r="N65" s="105"/>
    </row>
    <row r="66" spans="5:14" ht="20.100000000000001" customHeight="1" thickBot="1" x14ac:dyDescent="0.3">
      <c r="E66" s="117"/>
      <c r="F66" s="110"/>
      <c r="G66" s="110"/>
      <c r="H66" s="110"/>
      <c r="I66" s="110"/>
      <c r="J66" s="110"/>
      <c r="K66" s="110"/>
      <c r="L66" s="110"/>
      <c r="M66" s="105"/>
      <c r="N66" s="105"/>
    </row>
    <row r="67" spans="5:14" ht="30.75" customHeight="1" thickBot="1" x14ac:dyDescent="0.3">
      <c r="E67" s="12" t="s">
        <v>391</v>
      </c>
      <c r="F67" s="110"/>
      <c r="G67" s="12"/>
      <c r="H67" s="114" t="s">
        <v>40</v>
      </c>
      <c r="I67" s="110"/>
      <c r="J67" s="112" t="s">
        <v>52</v>
      </c>
      <c r="K67" s="133">
        <f>G67</f>
        <v>0</v>
      </c>
      <c r="L67" s="114" t="s">
        <v>40</v>
      </c>
      <c r="M67" s="115">
        <f>G67</f>
        <v>0</v>
      </c>
      <c r="N67" s="105"/>
    </row>
    <row r="68" spans="5:14" ht="20.100000000000001" customHeight="1" thickBot="1" x14ac:dyDescent="0.3">
      <c r="E68" s="117"/>
      <c r="F68" s="110"/>
      <c r="G68" s="110"/>
      <c r="H68" s="110"/>
      <c r="I68" s="110"/>
      <c r="J68" s="110"/>
      <c r="K68" s="110"/>
      <c r="L68" s="110"/>
      <c r="M68" s="105"/>
      <c r="N68" s="105"/>
    </row>
    <row r="69" spans="5:14" ht="20.100000000000001" customHeight="1" thickBot="1" x14ac:dyDescent="0.3">
      <c r="E69" s="12" t="s">
        <v>392</v>
      </c>
      <c r="F69" s="110"/>
      <c r="G69" s="12"/>
      <c r="H69" s="114" t="s">
        <v>40</v>
      </c>
      <c r="I69" s="110"/>
      <c r="J69" s="112" t="s">
        <v>53</v>
      </c>
      <c r="K69" s="133">
        <f>G69</f>
        <v>0</v>
      </c>
      <c r="L69" s="114" t="s">
        <v>40</v>
      </c>
      <c r="M69" s="115">
        <f>G69</f>
        <v>0</v>
      </c>
      <c r="N69" s="105"/>
    </row>
    <row r="70" spans="5:14" ht="20.100000000000001" customHeight="1" x14ac:dyDescent="0.25">
      <c r="E70" s="117"/>
      <c r="F70" s="110"/>
      <c r="G70" s="110"/>
      <c r="H70" s="110"/>
      <c r="I70" s="110"/>
      <c r="J70" s="110"/>
      <c r="K70" s="110"/>
      <c r="L70" s="110"/>
      <c r="M70" s="105"/>
      <c r="N70" s="105"/>
    </row>
    <row r="71" spans="5:14" ht="20.100000000000001" customHeight="1" x14ac:dyDescent="0.35">
      <c r="E71" s="117"/>
      <c r="F71" s="117" t="s">
        <v>54</v>
      </c>
      <c r="G71" s="90" t="s">
        <v>331</v>
      </c>
      <c r="H71" s="109"/>
      <c r="I71" s="110"/>
      <c r="J71" s="110"/>
      <c r="K71" s="110"/>
      <c r="L71" s="110"/>
      <c r="M71" s="105"/>
      <c r="N71" s="105"/>
    </row>
    <row r="72" spans="5:14" ht="20.100000000000001" customHeight="1" x14ac:dyDescent="0.25">
      <c r="E72" s="117"/>
      <c r="F72" s="110"/>
      <c r="G72" s="118" t="s">
        <v>393</v>
      </c>
      <c r="H72" s="110"/>
      <c r="I72" s="110"/>
      <c r="J72" s="110"/>
      <c r="K72" s="110"/>
      <c r="L72" s="110"/>
      <c r="M72" s="105"/>
      <c r="N72" s="105"/>
    </row>
    <row r="73" spans="5:14" ht="20.100000000000001" customHeight="1" thickBot="1" x14ac:dyDescent="0.3">
      <c r="E73" s="117"/>
      <c r="F73" s="110"/>
      <c r="G73" s="110"/>
      <c r="H73" s="110"/>
      <c r="I73" s="110"/>
      <c r="J73" s="110"/>
      <c r="K73" s="110"/>
      <c r="L73" s="110"/>
      <c r="M73" s="105"/>
      <c r="N73" s="105"/>
    </row>
    <row r="74" spans="5:14" ht="20.100000000000001" customHeight="1" thickBot="1" x14ac:dyDescent="0.3">
      <c r="E74" s="12" t="s">
        <v>394</v>
      </c>
      <c r="F74" s="110"/>
      <c r="G74" s="12"/>
      <c r="H74" s="114" t="s">
        <v>40</v>
      </c>
      <c r="I74" s="110"/>
      <c r="J74" s="112" t="s">
        <v>55</v>
      </c>
      <c r="K74" s="133">
        <f>G74</f>
        <v>0</v>
      </c>
      <c r="L74" s="114" t="s">
        <v>40</v>
      </c>
      <c r="M74" s="119">
        <f>G74</f>
        <v>0</v>
      </c>
      <c r="N74" s="105"/>
    </row>
    <row r="75" spans="5:14" ht="20.100000000000001" customHeight="1" thickBot="1" x14ac:dyDescent="0.3">
      <c r="E75" s="117"/>
      <c r="F75" s="110"/>
      <c r="G75" s="110"/>
      <c r="H75" s="110"/>
      <c r="I75" s="110"/>
      <c r="J75" s="110"/>
      <c r="K75" s="110"/>
      <c r="L75" s="110"/>
      <c r="M75" s="105"/>
      <c r="N75" s="105"/>
    </row>
    <row r="76" spans="5:14" ht="20.100000000000001" customHeight="1" thickBot="1" x14ac:dyDescent="0.3">
      <c r="E76" s="12" t="s">
        <v>395</v>
      </c>
      <c r="F76" s="110"/>
      <c r="G76" s="12"/>
      <c r="H76" s="114" t="s">
        <v>40</v>
      </c>
      <c r="I76" s="110"/>
      <c r="J76" s="112" t="s">
        <v>56</v>
      </c>
      <c r="K76" s="133">
        <f>G76</f>
        <v>0</v>
      </c>
      <c r="L76" s="114" t="s">
        <v>40</v>
      </c>
      <c r="M76" s="119">
        <f>G76</f>
        <v>0</v>
      </c>
      <c r="N76" s="105"/>
    </row>
    <row r="77" spans="5:14" ht="20.100000000000001" customHeight="1" thickBot="1" x14ac:dyDescent="0.3">
      <c r="E77" s="117"/>
      <c r="F77" s="110"/>
      <c r="G77" s="110"/>
      <c r="H77" s="110"/>
      <c r="I77" s="110"/>
      <c r="J77" s="110"/>
      <c r="K77" s="110"/>
      <c r="L77" s="110"/>
      <c r="M77" s="105"/>
      <c r="N77" s="105"/>
    </row>
    <row r="78" spans="5:14" ht="20.100000000000001" customHeight="1" thickBot="1" x14ac:dyDescent="0.3">
      <c r="E78" s="12" t="s">
        <v>396</v>
      </c>
      <c r="F78" s="110"/>
      <c r="G78" s="12"/>
      <c r="H78" s="114" t="s">
        <v>40</v>
      </c>
      <c r="I78" s="110"/>
      <c r="J78" s="112" t="s">
        <v>57</v>
      </c>
      <c r="K78" s="133">
        <f>G78</f>
        <v>0</v>
      </c>
      <c r="L78" s="114" t="s">
        <v>40</v>
      </c>
      <c r="M78" s="119">
        <f>G78</f>
        <v>0</v>
      </c>
      <c r="N78" s="105"/>
    </row>
    <row r="79" spans="5:14" ht="20.100000000000001" customHeight="1" thickBot="1" x14ac:dyDescent="0.3">
      <c r="E79" s="117"/>
      <c r="F79" s="110"/>
      <c r="G79" s="110"/>
      <c r="H79" s="110"/>
      <c r="I79" s="110"/>
      <c r="J79" s="110"/>
      <c r="K79" s="110"/>
      <c r="L79" s="110"/>
      <c r="M79" s="105"/>
      <c r="N79" s="105"/>
    </row>
    <row r="80" spans="5:14" ht="20.100000000000001" customHeight="1" thickBot="1" x14ac:dyDescent="0.3">
      <c r="E80" s="117"/>
      <c r="F80" s="110"/>
      <c r="G80" s="110"/>
      <c r="H80" s="120"/>
      <c r="I80" s="120"/>
      <c r="J80" s="110"/>
      <c r="K80" s="134">
        <f>IF(K52&lt;K46,K46+K61+K65+K67+K69+K74+K76+K78,K52+K61+K65+K67+K69+K74+K76+K78)</f>
        <v>2.2527760652137618</v>
      </c>
      <c r="L80" s="121" t="s">
        <v>40</v>
      </c>
      <c r="M80" s="105"/>
      <c r="N80" s="105"/>
    </row>
    <row r="81" spans="5:14" ht="20.100000000000001" customHeight="1" thickBot="1" x14ac:dyDescent="0.3">
      <c r="E81" s="117"/>
      <c r="F81" s="110"/>
      <c r="G81" s="110"/>
      <c r="H81" s="109"/>
      <c r="I81" s="122"/>
      <c r="J81" s="109"/>
      <c r="K81" s="110"/>
      <c r="L81" s="109"/>
      <c r="M81" s="105"/>
      <c r="N81" s="105"/>
    </row>
    <row r="82" spans="5:14" ht="20.100000000000001" customHeight="1" thickBot="1" x14ac:dyDescent="0.3">
      <c r="E82" s="117"/>
      <c r="F82" s="110"/>
      <c r="G82" s="110"/>
      <c r="H82" s="122"/>
      <c r="I82" s="122"/>
      <c r="J82" s="121"/>
      <c r="K82" s="134">
        <f>IF(K80="","",K80*3.6)</f>
        <v>8.1099938347695435</v>
      </c>
      <c r="L82" s="123" t="s">
        <v>58</v>
      </c>
      <c r="M82" s="105"/>
      <c r="N82" s="105"/>
    </row>
    <row r="83" spans="5:14" ht="20.100000000000001" customHeight="1" x14ac:dyDescent="0.25">
      <c r="E83" s="104"/>
      <c r="F83" s="105"/>
      <c r="G83" s="105"/>
      <c r="H83" s="124"/>
      <c r="I83" s="105"/>
      <c r="J83" s="105"/>
      <c r="K83" s="105"/>
      <c r="L83" s="105"/>
      <c r="M83" s="105"/>
      <c r="N83" s="105"/>
    </row>
    <row r="84" spans="5:14" ht="20.100000000000001" customHeight="1" x14ac:dyDescent="0.25">
      <c r="E84" s="104"/>
      <c r="F84" s="105"/>
      <c r="G84" s="105"/>
      <c r="I84" s="125"/>
      <c r="K84" s="105"/>
      <c r="M84" s="105"/>
      <c r="N84" s="105"/>
    </row>
    <row r="85" spans="5:14" ht="20.100000000000001" customHeight="1" x14ac:dyDescent="0.25">
      <c r="E85" s="104"/>
      <c r="F85" s="105"/>
      <c r="G85" s="105"/>
      <c r="H85" s="125"/>
      <c r="I85" s="125"/>
      <c r="J85" s="126"/>
      <c r="K85" s="105"/>
      <c r="L85" s="105"/>
      <c r="M85" s="105"/>
      <c r="N85" s="105"/>
    </row>
    <row r="86" spans="5:14" ht="20.100000000000001" customHeight="1" x14ac:dyDescent="0.25">
      <c r="E86" s="104"/>
      <c r="F86" s="105"/>
      <c r="G86" s="105"/>
      <c r="H86" s="105"/>
      <c r="I86" s="105"/>
      <c r="J86" s="105"/>
      <c r="K86" s="105"/>
      <c r="L86" s="105"/>
      <c r="M86" s="105"/>
      <c r="N86" s="105"/>
    </row>
    <row r="87" spans="5:14" ht="20.100000000000001" customHeight="1" x14ac:dyDescent="0.25">
      <c r="E87" s="104"/>
      <c r="F87" s="105"/>
      <c r="G87" s="105"/>
      <c r="H87" s="105"/>
      <c r="I87" s="105"/>
      <c r="J87" s="105"/>
      <c r="K87" s="105"/>
      <c r="L87" s="105"/>
      <c r="M87" s="105"/>
      <c r="N87" s="105"/>
    </row>
    <row r="88" spans="5:14" ht="20.100000000000001" customHeight="1" x14ac:dyDescent="0.25">
      <c r="E88" s="104"/>
      <c r="F88" s="105"/>
      <c r="G88" s="105"/>
      <c r="H88" s="105"/>
      <c r="I88" s="105"/>
      <c r="J88" s="105"/>
      <c r="K88" s="105"/>
      <c r="L88" s="105"/>
      <c r="M88" s="105"/>
      <c r="N88" s="105"/>
    </row>
    <row r="89" spans="5:14" ht="20.100000000000001" customHeight="1" x14ac:dyDescent="0.25">
      <c r="E89" s="104"/>
      <c r="F89" s="105"/>
      <c r="G89" s="105"/>
      <c r="H89" s="105"/>
      <c r="I89" s="105"/>
      <c r="J89" s="105"/>
      <c r="K89" s="105"/>
      <c r="L89" s="105"/>
      <c r="M89" s="105"/>
      <c r="N89" s="105"/>
    </row>
    <row r="90" spans="5:14" ht="20.100000000000001" customHeight="1" x14ac:dyDescent="0.25">
      <c r="E90" s="104"/>
      <c r="F90" s="105"/>
      <c r="G90" s="105"/>
      <c r="H90" s="105"/>
      <c r="I90" s="105"/>
      <c r="J90" s="105"/>
      <c r="K90" s="105"/>
      <c r="L90" s="105"/>
      <c r="M90" s="105"/>
      <c r="N90" s="105"/>
    </row>
    <row r="91" spans="5:14" ht="20.100000000000001" customHeight="1" x14ac:dyDescent="0.25">
      <c r="E91" s="104"/>
      <c r="F91" s="105"/>
      <c r="G91" s="105"/>
      <c r="H91" s="105"/>
      <c r="I91" s="105"/>
      <c r="J91" s="105"/>
      <c r="K91" s="105"/>
      <c r="L91" s="105"/>
      <c r="M91" s="105"/>
      <c r="N91" s="105"/>
    </row>
    <row r="92" spans="5:14" ht="20.100000000000001" customHeight="1" x14ac:dyDescent="0.25">
      <c r="E92" s="104"/>
      <c r="F92" s="105"/>
      <c r="G92" s="105"/>
      <c r="H92" s="105"/>
      <c r="I92" s="105"/>
      <c r="J92" s="105"/>
      <c r="K92" s="105"/>
      <c r="L92" s="105"/>
      <c r="M92" s="105"/>
      <c r="N92" s="105"/>
    </row>
    <row r="93" spans="5:14" ht="20.100000000000001" customHeight="1" x14ac:dyDescent="0.25">
      <c r="E93" s="104"/>
      <c r="F93" s="105"/>
      <c r="G93" s="105"/>
      <c r="H93" s="105"/>
      <c r="I93" s="105"/>
      <c r="J93" s="105"/>
      <c r="K93" s="105"/>
      <c r="L93" s="105"/>
      <c r="M93" s="105"/>
      <c r="N93" s="105"/>
    </row>
    <row r="94" spans="5:14" ht="20.100000000000001" customHeight="1" x14ac:dyDescent="0.25">
      <c r="E94" s="104"/>
      <c r="F94" s="105"/>
      <c r="G94" s="105"/>
      <c r="H94" s="105"/>
      <c r="I94" s="105"/>
      <c r="J94" s="105"/>
      <c r="K94" s="105"/>
      <c r="L94" s="105"/>
      <c r="M94" s="105"/>
      <c r="N94" s="105"/>
    </row>
    <row r="95" spans="5:14" ht="20.100000000000001" customHeight="1" x14ac:dyDescent="0.25">
      <c r="E95" s="104"/>
      <c r="F95" s="105"/>
      <c r="G95" s="105"/>
      <c r="H95" s="105"/>
      <c r="I95" s="105"/>
      <c r="J95" s="105"/>
      <c r="K95" s="105"/>
      <c r="L95" s="105"/>
      <c r="M95" s="105"/>
      <c r="N95" s="105"/>
    </row>
    <row r="96" spans="5:14" ht="20.100000000000001" customHeight="1" x14ac:dyDescent="0.25">
      <c r="E96" s="104"/>
      <c r="F96" s="105"/>
      <c r="G96" s="105"/>
      <c r="H96" s="105"/>
      <c r="I96" s="105"/>
      <c r="J96" s="127"/>
      <c r="K96" s="128"/>
      <c r="L96" s="129"/>
      <c r="M96" s="105"/>
      <c r="N96" s="105"/>
    </row>
    <row r="97" spans="5:14" ht="20.100000000000001" customHeight="1" x14ac:dyDescent="0.25">
      <c r="E97" s="104"/>
      <c r="F97" s="105"/>
      <c r="G97" s="105"/>
      <c r="H97" s="105"/>
      <c r="I97" s="105"/>
      <c r="J97" s="105"/>
      <c r="K97" s="105"/>
      <c r="L97" s="105"/>
      <c r="M97" s="105"/>
      <c r="N97" s="105"/>
    </row>
    <row r="98" spans="5:14" ht="20.100000000000001" customHeight="1" x14ac:dyDescent="0.25">
      <c r="E98" s="104"/>
      <c r="F98" s="105"/>
      <c r="G98" s="105"/>
      <c r="H98" s="105"/>
      <c r="I98" s="105"/>
      <c r="J98" s="105"/>
      <c r="K98" s="105"/>
      <c r="L98" s="105"/>
      <c r="M98" s="105"/>
      <c r="N98" s="105"/>
    </row>
    <row r="99" spans="5:14" x14ac:dyDescent="0.25">
      <c r="G99" s="101"/>
      <c r="H99" s="101"/>
      <c r="I99" s="101"/>
      <c r="M99" s="101"/>
      <c r="N99" s="101"/>
    </row>
    <row r="100" spans="5:14" x14ac:dyDescent="0.25">
      <c r="G100" s="101"/>
      <c r="H100" s="101"/>
      <c r="I100" s="101"/>
      <c r="M100" s="101"/>
      <c r="N100" s="101"/>
    </row>
    <row r="106" spans="5:14" x14ac:dyDescent="0.25">
      <c r="E106" s="104"/>
      <c r="J106" s="104"/>
    </row>
    <row r="109" spans="5:14" x14ac:dyDescent="0.25">
      <c r="G109" s="101"/>
      <c r="H109" s="101"/>
      <c r="I109" s="101"/>
      <c r="M109" s="101"/>
      <c r="N109" s="101"/>
    </row>
    <row r="110" spans="5:14" x14ac:dyDescent="0.25">
      <c r="G110" s="101"/>
      <c r="H110" s="101"/>
      <c r="I110" s="101"/>
      <c r="M110" s="101"/>
      <c r="N110" s="101"/>
    </row>
    <row r="111" spans="5:14" x14ac:dyDescent="0.25">
      <c r="G111" s="101"/>
      <c r="H111" s="101"/>
      <c r="I111" s="101"/>
      <c r="M111" s="101"/>
      <c r="N111" s="101"/>
    </row>
    <row r="112" spans="5:14" x14ac:dyDescent="0.25">
      <c r="G112" s="101"/>
      <c r="H112" s="101"/>
      <c r="I112" s="101"/>
      <c r="M112" s="101"/>
      <c r="N112" s="101"/>
    </row>
    <row r="113" spans="7:14" x14ac:dyDescent="0.25">
      <c r="G113" s="101"/>
      <c r="H113" s="101"/>
      <c r="I113" s="101"/>
      <c r="M113" s="101"/>
      <c r="N113" s="101"/>
    </row>
    <row r="114" spans="7:14" x14ac:dyDescent="0.25">
      <c r="G114" s="101"/>
      <c r="H114" s="101"/>
      <c r="I114" s="101"/>
      <c r="M114" s="101"/>
      <c r="N114" s="101"/>
    </row>
    <row r="115" spans="7:14" x14ac:dyDescent="0.25">
      <c r="G115" s="101"/>
      <c r="H115" s="101"/>
      <c r="I115" s="101"/>
      <c r="M115" s="101"/>
      <c r="N115" s="101"/>
    </row>
    <row r="116" spans="7:14" x14ac:dyDescent="0.25">
      <c r="G116" s="101"/>
      <c r="H116" s="101"/>
      <c r="I116" s="101"/>
      <c r="M116" s="101"/>
      <c r="N116" s="101"/>
    </row>
    <row r="117" spans="7:14" x14ac:dyDescent="0.25">
      <c r="G117" s="101"/>
      <c r="H117" s="101"/>
      <c r="I117" s="101"/>
      <c r="M117" s="101"/>
      <c r="N117" s="101"/>
    </row>
    <row r="118" spans="7:14" x14ac:dyDescent="0.25">
      <c r="G118" s="101"/>
      <c r="H118" s="101"/>
      <c r="I118" s="101"/>
      <c r="M118" s="101"/>
      <c r="N118" s="101"/>
    </row>
    <row r="119" spans="7:14" x14ac:dyDescent="0.25">
      <c r="G119" s="101"/>
      <c r="H119" s="101"/>
      <c r="I119" s="101"/>
      <c r="M119" s="101"/>
      <c r="N119" s="101"/>
    </row>
    <row r="120" spans="7:14" x14ac:dyDescent="0.25">
      <c r="G120" s="101"/>
      <c r="H120" s="101"/>
      <c r="I120" s="101"/>
      <c r="M120" s="101"/>
      <c r="N120" s="101"/>
    </row>
    <row r="121" spans="7:14" x14ac:dyDescent="0.25">
      <c r="G121" s="101"/>
      <c r="H121" s="101"/>
      <c r="I121" s="101"/>
      <c r="M121" s="101"/>
      <c r="N121" s="101"/>
    </row>
    <row r="122" spans="7:14" x14ac:dyDescent="0.25">
      <c r="G122" s="101"/>
      <c r="H122" s="101"/>
      <c r="I122" s="101"/>
      <c r="M122" s="101"/>
      <c r="N122" s="101"/>
    </row>
    <row r="136" spans="5:14" x14ac:dyDescent="0.25">
      <c r="E136" s="104"/>
    </row>
    <row r="138" spans="5:14" x14ac:dyDescent="0.25">
      <c r="E138" s="101"/>
      <c r="F138" s="101"/>
      <c r="G138" s="101"/>
      <c r="H138" s="101"/>
      <c r="I138" s="101"/>
      <c r="J138" s="101"/>
      <c r="K138" s="101"/>
      <c r="L138" s="101"/>
      <c r="M138" s="101"/>
      <c r="N138" s="101"/>
    </row>
    <row r="139" spans="5:14" x14ac:dyDescent="0.25">
      <c r="E139" s="101"/>
      <c r="F139" s="101"/>
      <c r="G139" s="101"/>
      <c r="H139" s="101"/>
      <c r="I139" s="101"/>
      <c r="J139" s="101"/>
      <c r="K139" s="101"/>
      <c r="L139" s="101"/>
      <c r="M139" s="101"/>
      <c r="N139" s="101"/>
    </row>
    <row r="140" spans="5:14" x14ac:dyDescent="0.25">
      <c r="E140" s="101"/>
      <c r="F140" s="101"/>
      <c r="G140" s="101"/>
      <c r="H140" s="101"/>
      <c r="I140" s="101"/>
      <c r="J140" s="101"/>
      <c r="K140" s="101"/>
      <c r="L140" s="101"/>
      <c r="M140" s="101"/>
      <c r="N140" s="101"/>
    </row>
    <row r="141" spans="5:14" x14ac:dyDescent="0.25">
      <c r="E141" s="101"/>
      <c r="F141" s="101"/>
      <c r="G141" s="101"/>
      <c r="H141" s="101"/>
      <c r="I141" s="101"/>
      <c r="J141" s="101"/>
      <c r="K141" s="101"/>
      <c r="L141" s="101"/>
      <c r="M141" s="101"/>
      <c r="N141" s="101"/>
    </row>
    <row r="142" spans="5:14" x14ac:dyDescent="0.25">
      <c r="E142" s="101"/>
      <c r="F142" s="101"/>
      <c r="G142" s="101"/>
      <c r="H142" s="101"/>
      <c r="I142" s="101"/>
      <c r="J142" s="101"/>
      <c r="K142" s="101"/>
      <c r="L142" s="101"/>
      <c r="M142" s="101"/>
      <c r="N142" s="101"/>
    </row>
    <row r="143" spans="5:14" x14ac:dyDescent="0.25">
      <c r="E143" s="101"/>
      <c r="F143" s="101"/>
      <c r="G143" s="101"/>
      <c r="H143" s="101"/>
      <c r="I143" s="101"/>
      <c r="J143" s="101"/>
      <c r="K143" s="101"/>
      <c r="L143" s="101"/>
      <c r="M143" s="101"/>
      <c r="N143" s="101"/>
    </row>
    <row r="144" spans="5:14" x14ac:dyDescent="0.25">
      <c r="E144" s="104"/>
      <c r="J144" s="104"/>
    </row>
    <row r="145" spans="5:14" x14ac:dyDescent="0.25">
      <c r="E145" s="104"/>
      <c r="J145" s="104"/>
    </row>
    <row r="147" spans="5:14" x14ac:dyDescent="0.25">
      <c r="G147" s="101"/>
      <c r="H147" s="101"/>
      <c r="I147" s="101"/>
      <c r="M147" s="101"/>
      <c r="N147" s="101"/>
    </row>
    <row r="148" spans="5:14" x14ac:dyDescent="0.25">
      <c r="G148" s="101"/>
      <c r="H148" s="101"/>
      <c r="I148" s="101"/>
      <c r="M148" s="101"/>
      <c r="N148" s="101"/>
    </row>
    <row r="149" spans="5:14" x14ac:dyDescent="0.25">
      <c r="G149" s="101"/>
      <c r="H149" s="101"/>
      <c r="I149" s="101"/>
      <c r="M149" s="101"/>
      <c r="N149" s="101"/>
    </row>
    <row r="150" spans="5:14" x14ac:dyDescent="0.25">
      <c r="G150" s="101"/>
      <c r="H150" s="101"/>
      <c r="I150" s="101"/>
      <c r="M150" s="101"/>
      <c r="N150" s="101"/>
    </row>
    <row r="151" spans="5:14" x14ac:dyDescent="0.25">
      <c r="G151" s="101"/>
      <c r="H151" s="101"/>
      <c r="I151" s="101"/>
      <c r="M151" s="101"/>
      <c r="N151" s="101"/>
    </row>
    <row r="152" spans="5:14" x14ac:dyDescent="0.25">
      <c r="G152" s="101"/>
      <c r="H152" s="101"/>
      <c r="I152" s="101"/>
      <c r="M152" s="101"/>
      <c r="N152" s="101"/>
    </row>
    <row r="153" spans="5:14" x14ac:dyDescent="0.25">
      <c r="G153" s="101"/>
      <c r="H153" s="101"/>
      <c r="I153" s="101"/>
      <c r="M153" s="101"/>
      <c r="N153" s="101"/>
    </row>
    <row r="154" spans="5:14" x14ac:dyDescent="0.25">
      <c r="G154" s="101"/>
      <c r="H154" s="101"/>
      <c r="I154" s="101"/>
      <c r="M154" s="101"/>
      <c r="N154" s="101"/>
    </row>
    <row r="155" spans="5:14" x14ac:dyDescent="0.25">
      <c r="G155" s="101"/>
      <c r="H155" s="101"/>
      <c r="I155" s="101"/>
      <c r="M155" s="101"/>
      <c r="N155" s="101"/>
    </row>
    <row r="156" spans="5:14" x14ac:dyDescent="0.25">
      <c r="G156" s="101"/>
      <c r="H156" s="101"/>
      <c r="I156" s="101"/>
      <c r="M156" s="101"/>
      <c r="N156" s="101"/>
    </row>
    <row r="157" spans="5:14" x14ac:dyDescent="0.25">
      <c r="G157" s="101"/>
      <c r="H157" s="101"/>
      <c r="I157" s="101"/>
      <c r="M157" s="101"/>
      <c r="N157" s="101"/>
    </row>
    <row r="158" spans="5:14" x14ac:dyDescent="0.25">
      <c r="G158" s="101"/>
      <c r="H158" s="101"/>
      <c r="I158" s="101"/>
      <c r="M158" s="101"/>
      <c r="N158" s="101"/>
    </row>
    <row r="159" spans="5:14" x14ac:dyDescent="0.25">
      <c r="G159" s="101"/>
      <c r="H159" s="101"/>
      <c r="I159" s="101"/>
      <c r="M159" s="101"/>
      <c r="N159" s="101"/>
    </row>
    <row r="160" spans="5:14" x14ac:dyDescent="0.25">
      <c r="G160" s="101"/>
      <c r="H160" s="101"/>
      <c r="I160" s="101"/>
      <c r="M160" s="101"/>
      <c r="N160" s="101"/>
    </row>
    <row r="166" spans="5:14" x14ac:dyDescent="0.25">
      <c r="E166" s="104"/>
      <c r="J166" s="104"/>
    </row>
    <row r="167" spans="5:14" x14ac:dyDescent="0.25">
      <c r="E167" s="104"/>
      <c r="J167" s="104"/>
    </row>
    <row r="169" spans="5:14" x14ac:dyDescent="0.25">
      <c r="G169" s="101"/>
      <c r="H169" s="101"/>
      <c r="I169" s="101"/>
      <c r="M169" s="101"/>
      <c r="N169" s="101"/>
    </row>
    <row r="170" spans="5:14" x14ac:dyDescent="0.25">
      <c r="G170" s="101"/>
      <c r="H170" s="101"/>
      <c r="I170" s="101"/>
      <c r="M170" s="101"/>
      <c r="N170" s="101"/>
    </row>
    <row r="171" spans="5:14" x14ac:dyDescent="0.25">
      <c r="G171" s="101"/>
      <c r="H171" s="101"/>
      <c r="I171" s="101"/>
      <c r="M171" s="101"/>
      <c r="N171" s="101"/>
    </row>
    <row r="172" spans="5:14" x14ac:dyDescent="0.25">
      <c r="G172" s="101"/>
      <c r="H172" s="101"/>
      <c r="I172" s="101"/>
      <c r="M172" s="101"/>
      <c r="N172" s="101"/>
    </row>
    <row r="173" spans="5:14" x14ac:dyDescent="0.25">
      <c r="G173" s="101"/>
      <c r="H173" s="101"/>
      <c r="I173" s="101"/>
      <c r="M173" s="101"/>
      <c r="N173" s="101"/>
    </row>
    <row r="174" spans="5:14" x14ac:dyDescent="0.25">
      <c r="G174" s="101"/>
      <c r="H174" s="101"/>
      <c r="I174" s="101"/>
      <c r="M174" s="101"/>
      <c r="N174" s="101"/>
    </row>
    <row r="175" spans="5:14" x14ac:dyDescent="0.25">
      <c r="G175" s="101"/>
      <c r="H175" s="101"/>
      <c r="I175" s="101"/>
      <c r="M175" s="101"/>
      <c r="N175" s="101"/>
    </row>
    <row r="176" spans="5:14" x14ac:dyDescent="0.25">
      <c r="G176" s="101"/>
      <c r="H176" s="101"/>
      <c r="I176" s="101"/>
      <c r="M176" s="101"/>
      <c r="N176" s="101"/>
    </row>
    <row r="177" spans="5:14" x14ac:dyDescent="0.25">
      <c r="G177" s="101"/>
      <c r="H177" s="101"/>
      <c r="I177" s="101"/>
      <c r="M177" s="101"/>
      <c r="N177" s="101"/>
    </row>
    <row r="178" spans="5:14" x14ac:dyDescent="0.25">
      <c r="G178" s="101"/>
      <c r="H178" s="101"/>
      <c r="I178" s="101"/>
      <c r="M178" s="101"/>
      <c r="N178" s="101"/>
    </row>
    <row r="179" spans="5:14" x14ac:dyDescent="0.25">
      <c r="G179" s="101"/>
      <c r="H179" s="101"/>
      <c r="I179" s="101"/>
      <c r="M179" s="101"/>
      <c r="N179" s="101"/>
    </row>
    <row r="180" spans="5:14" x14ac:dyDescent="0.25">
      <c r="G180" s="101"/>
      <c r="H180" s="101"/>
      <c r="I180" s="101"/>
      <c r="M180" s="101"/>
      <c r="N180" s="101"/>
    </row>
    <row r="181" spans="5:14" x14ac:dyDescent="0.25">
      <c r="G181" s="101"/>
      <c r="H181" s="101"/>
      <c r="I181" s="101"/>
      <c r="M181" s="101"/>
      <c r="N181" s="101"/>
    </row>
    <row r="182" spans="5:14" x14ac:dyDescent="0.25">
      <c r="G182" s="101"/>
      <c r="H182" s="101"/>
      <c r="I182" s="101"/>
      <c r="M182" s="101"/>
      <c r="N182" s="101"/>
    </row>
    <row r="187" spans="5:14" x14ac:dyDescent="0.25">
      <c r="E187" s="104"/>
    </row>
    <row r="196" spans="5:12" x14ac:dyDescent="0.25">
      <c r="E196" s="104"/>
    </row>
    <row r="200" spans="5:12" ht="15" customHeight="1" x14ac:dyDescent="0.25">
      <c r="I200" s="101"/>
      <c r="J200" s="101"/>
      <c r="K200" s="101"/>
      <c r="L200" s="101"/>
    </row>
    <row r="201" spans="5:12" x14ac:dyDescent="0.25">
      <c r="I201" s="101"/>
      <c r="J201" s="101"/>
      <c r="K201" s="101"/>
      <c r="L201" s="101"/>
    </row>
    <row r="202" spans="5:12" x14ac:dyDescent="0.25">
      <c r="I202" s="101"/>
      <c r="J202" s="101"/>
      <c r="K202" s="101"/>
      <c r="L202" s="101"/>
    </row>
    <row r="203" spans="5:12" x14ac:dyDescent="0.25">
      <c r="I203" s="101"/>
      <c r="J203" s="101"/>
      <c r="K203" s="101"/>
      <c r="L203" s="101"/>
    </row>
    <row r="204" spans="5:12" x14ac:dyDescent="0.25">
      <c r="I204" s="101"/>
      <c r="J204" s="101"/>
      <c r="K204" s="101"/>
      <c r="L204" s="101"/>
    </row>
    <row r="205" spans="5:12" x14ac:dyDescent="0.25">
      <c r="I205" s="101"/>
      <c r="J205" s="101"/>
      <c r="K205" s="101"/>
      <c r="L205" s="101"/>
    </row>
    <row r="206" spans="5:12" x14ac:dyDescent="0.25">
      <c r="I206" s="101"/>
      <c r="J206" s="101"/>
      <c r="K206" s="101"/>
      <c r="L206" s="101"/>
    </row>
  </sheetData>
  <sheetProtection algorithmName="SHA-512" hashValue="HSBmM+GWbsoFH2fZYc1hQfpAAdqwG6FfLsQJ5AIMA2jdTxWnzZcV9X4HIHcclHaHvjaD11Z/wCu0DcD6176ROg==" saltValue="ku5mSLhXh4MAVK8rtwNkAg==" spinCount="100000" sheet="1" objects="1" scenarios="1"/>
  <mergeCells count="47">
    <mergeCell ref="E17:H17"/>
    <mergeCell ref="F1:I1"/>
    <mergeCell ref="J1:J2"/>
    <mergeCell ref="K1:L2"/>
    <mergeCell ref="F2:I2"/>
    <mergeCell ref="E10:H11"/>
    <mergeCell ref="I10:I11"/>
    <mergeCell ref="J10:J11"/>
    <mergeCell ref="K10:K11"/>
    <mergeCell ref="L10:L11"/>
    <mergeCell ref="E12:H12"/>
    <mergeCell ref="E13:H13"/>
    <mergeCell ref="E14:H14"/>
    <mergeCell ref="E15:H15"/>
    <mergeCell ref="E16:H16"/>
    <mergeCell ref="E26:H26"/>
    <mergeCell ref="E18:H18"/>
    <mergeCell ref="E19:H19"/>
    <mergeCell ref="E20:H21"/>
    <mergeCell ref="I20:I21"/>
    <mergeCell ref="L20:L21"/>
    <mergeCell ref="E22:H22"/>
    <mergeCell ref="E23:H23"/>
    <mergeCell ref="E24:H24"/>
    <mergeCell ref="E25:H25"/>
    <mergeCell ref="J20:J21"/>
    <mergeCell ref="K20:K21"/>
    <mergeCell ref="E29:H30"/>
    <mergeCell ref="I29:I30"/>
    <mergeCell ref="J29:J30"/>
    <mergeCell ref="K29:K30"/>
    <mergeCell ref="L29:L30"/>
    <mergeCell ref="E27:H28"/>
    <mergeCell ref="I27:I28"/>
    <mergeCell ref="J27:J28"/>
    <mergeCell ref="K27:K28"/>
    <mergeCell ref="L27:L28"/>
    <mergeCell ref="E44:J44"/>
    <mergeCell ref="K44:L44"/>
    <mergeCell ref="E48:L50"/>
    <mergeCell ref="E31:H31"/>
    <mergeCell ref="E32:H32"/>
    <mergeCell ref="E33:H33"/>
    <mergeCell ref="E34:H34"/>
    <mergeCell ref="E35:L39"/>
    <mergeCell ref="E43:J43"/>
    <mergeCell ref="K43:L43"/>
  </mergeCells>
  <printOptions horizontalCentered="1"/>
  <pageMargins left="0.70866141732283472" right="0.70866141732283472" top="0.78740157480314965" bottom="0.78740157480314965" header="0.31496062992125984" footer="0.31496062992125984"/>
  <pageSetup paperSize="9" scale="80" orientation="portrait" r:id="rId1"/>
  <rowBreaks count="1" manualBreakCount="1">
    <brk id="46" min="4" max="11" man="1"/>
  </rowBreaks>
  <ignoredErrors>
    <ignoredError sqref="L18:L19 L26" formula="1"/>
    <ignoredError sqref="J12:J34 J1"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'10'!$C$4:$C$8</xm:f>
          </x14:formula1>
          <xm:sqref>E44:J44</xm:sqref>
        </x14:dataValidation>
        <x14:dataValidation type="list" allowBlank="1" showInputMessage="1" showErrorMessage="1">
          <x14:formula1>
            <xm:f>'5'!$M$38:$M$41</xm:f>
          </x14:formula1>
          <xm:sqref>E10:H11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E1:Q267"/>
  <sheetViews>
    <sheetView showGridLines="0" showRowColHeaders="0" topLeftCell="D1" zoomScaleNormal="100" zoomScaleSheetLayoutView="80" workbookViewId="0">
      <selection activeCell="N11" sqref="N11"/>
    </sheetView>
  </sheetViews>
  <sheetFormatPr baseColWidth="10" defaultColWidth="11.42578125" defaultRowHeight="15" x14ac:dyDescent="0.25"/>
  <cols>
    <col min="1" max="4" width="11.42578125" style="87"/>
    <col min="5" max="5" width="14.5703125" style="87" customWidth="1"/>
    <col min="6" max="6" width="12" style="87" customWidth="1"/>
    <col min="7" max="7" width="11.42578125" style="87"/>
    <col min="8" max="8" width="14.5703125" style="87" customWidth="1"/>
    <col min="9" max="9" width="13.7109375" style="87" customWidth="1"/>
    <col min="10" max="10" width="12.42578125" style="87" customWidth="1"/>
    <col min="11" max="11" width="13" style="87" customWidth="1"/>
    <col min="12" max="12" width="13.42578125" style="87" customWidth="1"/>
    <col min="13" max="16384" width="11.42578125" style="87"/>
  </cols>
  <sheetData>
    <row r="1" spans="5:12" ht="21" x14ac:dyDescent="0.25">
      <c r="E1" s="86" t="s">
        <v>325</v>
      </c>
      <c r="F1" s="303"/>
      <c r="G1" s="303"/>
      <c r="H1" s="303"/>
      <c r="I1" s="303"/>
      <c r="J1" s="304">
        <f ca="1">TODAY()</f>
        <v>45782</v>
      </c>
      <c r="K1" s="306"/>
      <c r="L1" s="307"/>
    </row>
    <row r="2" spans="5:12" ht="21.75" thickBot="1" x14ac:dyDescent="0.3">
      <c r="E2" s="88" t="s">
        <v>326</v>
      </c>
      <c r="F2" s="310"/>
      <c r="G2" s="310"/>
      <c r="H2" s="310"/>
      <c r="I2" s="310"/>
      <c r="J2" s="305"/>
      <c r="K2" s="308"/>
      <c r="L2" s="309"/>
    </row>
    <row r="3" spans="5:12" ht="42" customHeight="1" x14ac:dyDescent="0.25">
      <c r="E3" s="336" t="s">
        <v>397</v>
      </c>
      <c r="F3" s="336"/>
      <c r="G3" s="336"/>
      <c r="H3" s="336"/>
      <c r="I3" s="336"/>
      <c r="J3" s="336"/>
      <c r="K3" s="336"/>
      <c r="L3" s="336"/>
    </row>
    <row r="4" spans="5:12" ht="24.75" customHeight="1" x14ac:dyDescent="0.25">
      <c r="E4" s="135"/>
      <c r="F4" s="135"/>
      <c r="G4" s="135"/>
      <c r="H4" s="135"/>
      <c r="I4" s="135"/>
      <c r="J4" s="135"/>
      <c r="K4" s="135"/>
      <c r="L4" s="135"/>
    </row>
    <row r="5" spans="5:12" ht="18" customHeight="1" x14ac:dyDescent="0.25">
      <c r="E5" s="136"/>
      <c r="F5" s="136"/>
      <c r="G5" s="136"/>
      <c r="H5" s="136"/>
      <c r="I5" s="136"/>
      <c r="J5" s="136"/>
      <c r="K5" s="136"/>
      <c r="L5" s="136"/>
    </row>
    <row r="6" spans="5:12" ht="20.25" customHeight="1" x14ac:dyDescent="0.25">
      <c r="E6" s="136"/>
      <c r="F6" s="136"/>
      <c r="G6" s="136"/>
      <c r="H6" s="136"/>
      <c r="I6" s="136"/>
      <c r="J6" s="136"/>
      <c r="K6" s="136"/>
      <c r="L6" s="136"/>
    </row>
    <row r="7" spans="5:12" ht="20.25" customHeight="1" x14ac:dyDescent="0.25">
      <c r="E7" s="89" t="s">
        <v>542</v>
      </c>
      <c r="F7" s="137" t="s">
        <v>398</v>
      </c>
      <c r="G7" s="136"/>
      <c r="H7" s="136"/>
      <c r="I7" s="136"/>
      <c r="J7" s="136"/>
      <c r="K7" s="136"/>
      <c r="L7" s="136"/>
    </row>
    <row r="8" spans="5:12" ht="20.25" customHeight="1" x14ac:dyDescent="0.25">
      <c r="E8" s="89" t="s">
        <v>101</v>
      </c>
      <c r="F8" s="137" t="s">
        <v>399</v>
      </c>
      <c r="G8" s="136"/>
      <c r="H8" s="137" t="s">
        <v>400</v>
      </c>
      <c r="I8" s="136"/>
      <c r="J8" s="137" t="s">
        <v>401</v>
      </c>
      <c r="K8" s="109"/>
      <c r="L8" s="136"/>
    </row>
    <row r="9" spans="5:12" ht="20.25" customHeight="1" x14ac:dyDescent="0.25">
      <c r="E9" s="89" t="s">
        <v>69</v>
      </c>
      <c r="F9" s="137" t="s">
        <v>402</v>
      </c>
      <c r="G9" s="136"/>
      <c r="H9" s="136"/>
      <c r="I9" s="136"/>
      <c r="J9" s="136"/>
      <c r="K9" s="136"/>
      <c r="L9" s="136"/>
    </row>
    <row r="10" spans="5:12" ht="20.25" customHeight="1" x14ac:dyDescent="0.25">
      <c r="E10" s="89" t="s">
        <v>81</v>
      </c>
      <c r="F10" s="137" t="s">
        <v>403</v>
      </c>
      <c r="G10" s="136"/>
      <c r="H10" s="136"/>
      <c r="I10" s="136"/>
      <c r="J10" s="136"/>
      <c r="K10" s="136"/>
      <c r="L10" s="136"/>
    </row>
    <row r="11" spans="5:12" ht="20.25" customHeight="1" x14ac:dyDescent="0.25">
      <c r="E11" s="136" t="s">
        <v>404</v>
      </c>
      <c r="F11" s="136"/>
      <c r="G11" s="136"/>
      <c r="H11" s="136"/>
      <c r="I11" s="136"/>
      <c r="J11" s="136"/>
      <c r="K11" s="109"/>
      <c r="L11" s="136"/>
    </row>
    <row r="12" spans="5:12" ht="20.25" customHeight="1" thickBot="1" x14ac:dyDescent="0.3">
      <c r="E12" s="89" t="s">
        <v>405</v>
      </c>
      <c r="F12" s="136"/>
      <c r="G12" s="136"/>
      <c r="H12" s="137" t="s">
        <v>100</v>
      </c>
      <c r="I12" s="137" t="s">
        <v>99</v>
      </c>
      <c r="J12" s="137" t="s">
        <v>98</v>
      </c>
      <c r="K12" s="109"/>
      <c r="L12" s="109"/>
    </row>
    <row r="13" spans="5:12" ht="20.25" customHeight="1" thickBot="1" x14ac:dyDescent="0.3">
      <c r="E13" s="322"/>
      <c r="F13" s="333"/>
      <c r="G13" s="323"/>
      <c r="H13" s="159" t="str">
        <f>IFERROR(VLOOKUP($E$13,Tabelle14[],2,0),"")</f>
        <v/>
      </c>
      <c r="I13" s="159" t="str">
        <f>IFERROR(VLOOKUP($E$13,Tabelle14[],3,0),"")</f>
        <v/>
      </c>
      <c r="J13" s="159" t="str">
        <f>IFERROR(VLOOKUP($E$13,Tabelle14[],4,0),"")</f>
        <v/>
      </c>
      <c r="K13" s="109"/>
      <c r="L13" s="109"/>
    </row>
    <row r="14" spans="5:12" ht="20.25" customHeight="1" x14ac:dyDescent="0.25">
      <c r="E14" s="136"/>
      <c r="F14" s="136"/>
      <c r="G14" s="136"/>
      <c r="H14" s="85"/>
      <c r="I14" s="136"/>
      <c r="J14" s="136"/>
      <c r="K14" s="136"/>
      <c r="L14" s="136"/>
    </row>
    <row r="15" spans="5:12" ht="42" customHeight="1" thickBot="1" x14ac:dyDescent="0.3">
      <c r="E15" s="382" t="s">
        <v>404</v>
      </c>
      <c r="F15" s="382"/>
      <c r="G15" s="382"/>
      <c r="H15" s="137" t="s">
        <v>100</v>
      </c>
      <c r="I15" s="137" t="s">
        <v>99</v>
      </c>
      <c r="J15" s="137" t="s">
        <v>98</v>
      </c>
      <c r="K15" s="136"/>
      <c r="L15" s="136"/>
    </row>
    <row r="16" spans="5:12" ht="20.25" customHeight="1" thickBot="1" x14ac:dyDescent="0.3">
      <c r="E16" s="337"/>
      <c r="F16" s="338"/>
      <c r="G16" s="339"/>
      <c r="H16" s="35"/>
      <c r="I16" s="35"/>
      <c r="J16" s="35"/>
      <c r="K16" s="136"/>
      <c r="L16" s="136"/>
    </row>
    <row r="17" spans="5:15" ht="20.25" hidden="1" customHeight="1" x14ac:dyDescent="0.25">
      <c r="E17" s="136"/>
      <c r="F17" s="136"/>
      <c r="G17" s="109"/>
      <c r="H17" s="109"/>
      <c r="I17" s="109"/>
      <c r="J17" s="109"/>
      <c r="K17" s="136"/>
      <c r="L17" s="136"/>
    </row>
    <row r="18" spans="5:15" ht="192" hidden="1" customHeight="1" x14ac:dyDescent="0.25">
      <c r="E18" s="335" t="s">
        <v>97</v>
      </c>
      <c r="F18" s="335"/>
      <c r="G18" s="335"/>
      <c r="H18" s="335"/>
      <c r="I18" s="335"/>
      <c r="J18" s="335"/>
      <c r="K18" s="335"/>
      <c r="L18" s="335"/>
    </row>
    <row r="19" spans="5:15" ht="20.25" hidden="1" customHeight="1" x14ac:dyDescent="0.25">
      <c r="E19" s="110"/>
      <c r="F19" s="110"/>
      <c r="G19" s="110"/>
      <c r="H19" s="110"/>
      <c r="I19" s="110"/>
      <c r="J19" s="110"/>
      <c r="K19" s="110"/>
      <c r="L19" s="110"/>
    </row>
    <row r="20" spans="5:15" ht="82.5" customHeight="1" x14ac:dyDescent="0.25">
      <c r="E20" s="334" t="s">
        <v>406</v>
      </c>
      <c r="F20" s="334"/>
      <c r="G20" s="334"/>
      <c r="H20" s="334"/>
      <c r="I20" s="334"/>
      <c r="J20" s="334"/>
      <c r="K20" s="334"/>
      <c r="L20" s="334"/>
    </row>
    <row r="21" spans="5:15" ht="20.25" hidden="1" customHeight="1" x14ac:dyDescent="0.25">
      <c r="E21" s="96"/>
      <c r="F21" s="96"/>
      <c r="G21" s="96"/>
      <c r="H21" s="96"/>
      <c r="I21" s="96"/>
      <c r="J21" s="96"/>
      <c r="K21" s="96"/>
      <c r="L21" s="96"/>
    </row>
    <row r="22" spans="5:15" ht="20.25" hidden="1" customHeight="1" x14ac:dyDescent="0.25">
      <c r="E22" s="96"/>
      <c r="F22" s="96"/>
      <c r="G22" s="96"/>
      <c r="H22" s="96"/>
      <c r="I22" s="96"/>
      <c r="J22" s="96"/>
      <c r="K22" s="96"/>
      <c r="L22" s="96"/>
    </row>
    <row r="23" spans="5:15" ht="20.25" customHeight="1" thickBot="1" x14ac:dyDescent="0.3">
      <c r="E23" s="137"/>
      <c r="F23" s="136"/>
      <c r="G23" s="136"/>
      <c r="H23" s="136"/>
      <c r="I23" s="136"/>
      <c r="J23" s="136"/>
      <c r="K23" s="136"/>
      <c r="L23" s="136"/>
    </row>
    <row r="24" spans="5:15" ht="20.25" customHeight="1" thickBot="1" x14ac:dyDescent="0.3">
      <c r="E24" s="322" t="s">
        <v>407</v>
      </c>
      <c r="F24" s="323"/>
      <c r="G24" s="136"/>
      <c r="H24" s="92" t="s">
        <v>440</v>
      </c>
      <c r="I24" s="138"/>
      <c r="J24" s="138"/>
      <c r="K24" s="139"/>
      <c r="L24" s="138"/>
    </row>
    <row r="25" spans="5:15" ht="20.25" customHeight="1" thickBot="1" x14ac:dyDescent="0.3">
      <c r="E25" s="112" t="s">
        <v>408</v>
      </c>
      <c r="F25" s="34"/>
      <c r="G25" s="136"/>
      <c r="H25" s="324" t="s">
        <v>441</v>
      </c>
      <c r="I25" s="325"/>
      <c r="J25" s="325"/>
      <c r="K25" s="325"/>
      <c r="L25" s="326"/>
    </row>
    <row r="26" spans="5:15" ht="20.25" customHeight="1" thickBot="1" x14ac:dyDescent="0.3">
      <c r="E26" s="112" t="s">
        <v>409</v>
      </c>
      <c r="F26" s="34"/>
      <c r="G26" s="136"/>
      <c r="H26" s="327"/>
      <c r="I26" s="328"/>
      <c r="J26" s="328"/>
      <c r="K26" s="328"/>
      <c r="L26" s="329"/>
    </row>
    <row r="27" spans="5:15" ht="20.25" customHeight="1" thickBot="1" x14ac:dyDescent="0.3">
      <c r="E27" s="139" t="s">
        <v>89</v>
      </c>
      <c r="F27" s="160">
        <f>IF($H$25="","",VLOOKUP($H$25,Tabelle13[],2,0))</f>
        <v>1</v>
      </c>
      <c r="G27" s="136"/>
      <c r="H27" s="330"/>
      <c r="I27" s="331"/>
      <c r="J27" s="331"/>
      <c r="K27" s="331"/>
      <c r="L27" s="332"/>
      <c r="O27" s="140"/>
    </row>
    <row r="28" spans="5:15" ht="20.25" customHeight="1" thickBot="1" x14ac:dyDescent="0.3">
      <c r="E28" s="112" t="s">
        <v>81</v>
      </c>
      <c r="F28" s="161">
        <f>F25*F26</f>
        <v>0</v>
      </c>
      <c r="G28" s="136"/>
      <c r="H28" s="139"/>
      <c r="I28" s="142"/>
      <c r="J28" s="138"/>
      <c r="K28" s="139"/>
      <c r="L28" s="142"/>
      <c r="O28" s="140"/>
    </row>
    <row r="29" spans="5:15" ht="20.25" customHeight="1" thickBot="1" x14ac:dyDescent="0.3">
      <c r="E29" s="112" t="s">
        <v>88</v>
      </c>
      <c r="F29" s="161" t="str">
        <f>IFERROR(IF($H$16&gt;0,($H$16*$F$27*$F$28)/10000,$H$13*$F$27*$F$28/10000),"")</f>
        <v/>
      </c>
      <c r="G29" s="136"/>
      <c r="H29" s="162" t="str">
        <f>IFERROR(3.6*F29,"")</f>
        <v/>
      </c>
      <c r="I29" s="143" t="s">
        <v>77</v>
      </c>
      <c r="J29" s="144" t="str">
        <f>IF($H$16&gt;0,$H$16,$H$13)</f>
        <v/>
      </c>
      <c r="K29" s="136" t="s">
        <v>96</v>
      </c>
      <c r="L29" s="142"/>
      <c r="O29" s="140"/>
    </row>
    <row r="30" spans="5:15" ht="20.25" customHeight="1" thickBot="1" x14ac:dyDescent="0.3">
      <c r="E30" s="109"/>
      <c r="F30" s="109"/>
      <c r="G30" s="109"/>
      <c r="H30" s="109"/>
      <c r="I30" s="109"/>
      <c r="J30" s="109"/>
      <c r="K30" s="109"/>
      <c r="L30" s="109"/>
      <c r="O30" s="140"/>
    </row>
    <row r="31" spans="5:15" ht="20.25" customHeight="1" thickBot="1" x14ac:dyDescent="0.3">
      <c r="E31" s="322" t="s">
        <v>407</v>
      </c>
      <c r="F31" s="323"/>
      <c r="G31" s="136"/>
      <c r="H31" s="92" t="s">
        <v>440</v>
      </c>
      <c r="I31" s="138"/>
      <c r="J31" s="138"/>
      <c r="K31" s="139"/>
      <c r="L31" s="138"/>
      <c r="O31" s="140"/>
    </row>
    <row r="32" spans="5:15" ht="20.25" customHeight="1" thickBot="1" x14ac:dyDescent="0.3">
      <c r="E32" s="112" t="s">
        <v>408</v>
      </c>
      <c r="F32" s="34"/>
      <c r="G32" s="136"/>
      <c r="H32" s="324" t="s">
        <v>442</v>
      </c>
      <c r="I32" s="325"/>
      <c r="J32" s="325"/>
      <c r="K32" s="325"/>
      <c r="L32" s="326"/>
      <c r="O32" s="140"/>
    </row>
    <row r="33" spans="5:17" ht="20.25" customHeight="1" thickBot="1" x14ac:dyDescent="0.3">
      <c r="E33" s="112" t="s">
        <v>409</v>
      </c>
      <c r="F33" s="34"/>
      <c r="G33" s="136"/>
      <c r="H33" s="327"/>
      <c r="I33" s="328"/>
      <c r="J33" s="328"/>
      <c r="K33" s="328"/>
      <c r="L33" s="329"/>
      <c r="O33" s="140"/>
    </row>
    <row r="34" spans="5:17" ht="20.25" customHeight="1" thickBot="1" x14ac:dyDescent="0.3">
      <c r="E34" s="139" t="s">
        <v>87</v>
      </c>
      <c r="F34" s="160">
        <f>IF($H$32="","",VLOOKUP($H$32,Tabelle13[],2,0))</f>
        <v>1</v>
      </c>
      <c r="G34" s="136"/>
      <c r="H34" s="330"/>
      <c r="I34" s="331"/>
      <c r="J34" s="331"/>
      <c r="K34" s="331"/>
      <c r="L34" s="332"/>
      <c r="O34" s="140"/>
      <c r="Q34" s="145"/>
    </row>
    <row r="35" spans="5:17" ht="20.25" customHeight="1" thickBot="1" x14ac:dyDescent="0.3">
      <c r="E35" s="112" t="s">
        <v>81</v>
      </c>
      <c r="F35" s="161">
        <f>F32*F33</f>
        <v>0</v>
      </c>
      <c r="G35" s="136"/>
      <c r="H35" s="139"/>
      <c r="I35" s="142"/>
      <c r="J35" s="138"/>
      <c r="K35" s="139"/>
      <c r="L35" s="142"/>
      <c r="O35" s="140"/>
    </row>
    <row r="36" spans="5:17" ht="20.25" customHeight="1" thickBot="1" x14ac:dyDescent="0.3">
      <c r="E36" s="112" t="s">
        <v>86</v>
      </c>
      <c r="F36" s="161" t="str">
        <f>IFERROR(IF($H$16&gt;0,($H$16*$F$34*$F$35)/10000,$H$13*F34*F35/10000),"")</f>
        <v/>
      </c>
      <c r="G36" s="136"/>
      <c r="H36" s="162" t="str">
        <f>IFERROR(3.6*F36,"")</f>
        <v/>
      </c>
      <c r="I36" s="143" t="s">
        <v>77</v>
      </c>
      <c r="J36" s="144" t="str">
        <f>IF($H$16&gt;0,$H$16,$H$13)</f>
        <v/>
      </c>
      <c r="K36" s="136" t="s">
        <v>96</v>
      </c>
      <c r="L36" s="142"/>
      <c r="O36" s="140"/>
      <c r="Q36" s="145"/>
    </row>
    <row r="37" spans="5:17" ht="20.25" customHeight="1" thickBot="1" x14ac:dyDescent="0.3">
      <c r="E37" s="109"/>
      <c r="F37" s="109"/>
      <c r="G37" s="109"/>
      <c r="H37" s="109"/>
      <c r="I37" s="109"/>
      <c r="J37" s="109"/>
      <c r="K37" s="109"/>
      <c r="L37" s="109"/>
      <c r="O37" s="140"/>
    </row>
    <row r="38" spans="5:17" ht="20.25" customHeight="1" thickBot="1" x14ac:dyDescent="0.3">
      <c r="E38" s="322" t="s">
        <v>407</v>
      </c>
      <c r="F38" s="323"/>
      <c r="G38" s="136"/>
      <c r="H38" s="92" t="s">
        <v>440</v>
      </c>
      <c r="I38" s="138"/>
      <c r="J38" s="138"/>
      <c r="K38" s="139"/>
      <c r="L38" s="138"/>
      <c r="O38" s="140"/>
    </row>
    <row r="39" spans="5:17" ht="20.25" customHeight="1" thickBot="1" x14ac:dyDescent="0.3">
      <c r="E39" s="112" t="s">
        <v>408</v>
      </c>
      <c r="F39" s="34"/>
      <c r="G39" s="136"/>
      <c r="H39" s="324" t="s">
        <v>443</v>
      </c>
      <c r="I39" s="325"/>
      <c r="J39" s="325"/>
      <c r="K39" s="325"/>
      <c r="L39" s="326"/>
      <c r="O39" s="140"/>
    </row>
    <row r="40" spans="5:17" ht="20.25" customHeight="1" thickBot="1" x14ac:dyDescent="0.3">
      <c r="E40" s="112" t="s">
        <v>409</v>
      </c>
      <c r="F40" s="34"/>
      <c r="G40" s="136"/>
      <c r="H40" s="327"/>
      <c r="I40" s="328"/>
      <c r="J40" s="328"/>
      <c r="K40" s="328"/>
      <c r="L40" s="329"/>
      <c r="O40" s="140"/>
    </row>
    <row r="41" spans="5:17" ht="20.25" customHeight="1" thickBot="1" x14ac:dyDescent="0.3">
      <c r="E41" s="139" t="s">
        <v>82</v>
      </c>
      <c r="F41" s="160">
        <f>IF($H$39="","",VLOOKUP($H$39,Tabelle13[],2,0))</f>
        <v>0.8</v>
      </c>
      <c r="G41" s="136"/>
      <c r="H41" s="330"/>
      <c r="I41" s="331"/>
      <c r="J41" s="331"/>
      <c r="K41" s="331"/>
      <c r="L41" s="332"/>
      <c r="O41" s="140"/>
    </row>
    <row r="42" spans="5:17" ht="20.25" customHeight="1" thickBot="1" x14ac:dyDescent="0.3">
      <c r="E42" s="112" t="s">
        <v>81</v>
      </c>
      <c r="F42" s="161">
        <f>F39*F40</f>
        <v>0</v>
      </c>
      <c r="G42" s="136"/>
      <c r="H42" s="139"/>
      <c r="I42" s="142"/>
      <c r="J42" s="138"/>
      <c r="K42" s="139"/>
      <c r="L42" s="142"/>
      <c r="O42" s="140"/>
    </row>
    <row r="43" spans="5:17" ht="20.25" customHeight="1" thickBot="1" x14ac:dyDescent="0.3">
      <c r="E43" s="112" t="s">
        <v>80</v>
      </c>
      <c r="F43" s="161" t="str">
        <f>IFERROR(IF($H$16&gt;0,($H$16*$F$41*$F$42)/10000,$H$13*F41*F42/10000),"")</f>
        <v/>
      </c>
      <c r="G43" s="136"/>
      <c r="H43" s="162" t="str">
        <f>IFERROR(3.6*F43,"")</f>
        <v/>
      </c>
      <c r="I43" s="143" t="s">
        <v>77</v>
      </c>
      <c r="J43" s="144" t="str">
        <f>IF($H$16&gt;0,$H$16,$H$13)</f>
        <v/>
      </c>
      <c r="K43" s="136" t="s">
        <v>96</v>
      </c>
      <c r="L43" s="142"/>
      <c r="O43" s="140"/>
    </row>
    <row r="44" spans="5:17" ht="36" customHeight="1" thickBot="1" x14ac:dyDescent="0.3">
      <c r="E44" s="335" t="s">
        <v>410</v>
      </c>
      <c r="F44" s="335"/>
      <c r="G44" s="335"/>
      <c r="H44" s="335"/>
      <c r="I44" s="335"/>
      <c r="J44" s="335"/>
      <c r="K44" s="335"/>
      <c r="L44" s="109"/>
      <c r="O44" s="140"/>
    </row>
    <row r="45" spans="5:17" ht="24" customHeight="1" thickBot="1" x14ac:dyDescent="0.3">
      <c r="E45" s="112" t="s">
        <v>78</v>
      </c>
      <c r="F45" s="163" t="str">
        <f>IFERROR(F43+F36+F29,"")</f>
        <v/>
      </c>
      <c r="G45" s="136"/>
      <c r="H45" s="163" t="str">
        <f>IFERROR(H43+H36+H29,"")</f>
        <v/>
      </c>
      <c r="I45" s="143" t="s">
        <v>77</v>
      </c>
      <c r="J45" s="110"/>
      <c r="K45" s="110"/>
      <c r="L45" s="109"/>
      <c r="O45" s="140"/>
    </row>
    <row r="46" spans="5:17" ht="20.25" hidden="1" customHeight="1" x14ac:dyDescent="0.25">
      <c r="E46" s="89" t="s">
        <v>95</v>
      </c>
      <c r="F46" s="109"/>
      <c r="G46" s="109"/>
      <c r="H46" s="109"/>
      <c r="I46" s="109"/>
      <c r="J46" s="109"/>
      <c r="K46" s="109"/>
      <c r="L46" s="109"/>
      <c r="O46" s="140"/>
    </row>
    <row r="47" spans="5:17" ht="75.75" hidden="1" customHeight="1" thickBot="1" x14ac:dyDescent="0.3">
      <c r="E47" s="346" t="s">
        <v>94</v>
      </c>
      <c r="F47" s="346"/>
      <c r="G47" s="346"/>
      <c r="H47" s="346"/>
      <c r="I47" s="346"/>
      <c r="J47" s="346"/>
      <c r="K47" s="346"/>
      <c r="L47" s="346"/>
      <c r="O47" s="140"/>
    </row>
    <row r="48" spans="5:17" ht="20.25" hidden="1" customHeight="1" thickBot="1" x14ac:dyDescent="0.3">
      <c r="E48" s="322" t="s">
        <v>90</v>
      </c>
      <c r="F48" s="323"/>
      <c r="G48" s="136"/>
      <c r="H48" s="92"/>
      <c r="I48" s="138"/>
      <c r="J48" s="138"/>
      <c r="K48" s="139"/>
      <c r="L48" s="138"/>
    </row>
    <row r="49" spans="5:12" ht="20.25" hidden="1" customHeight="1" thickBot="1" x14ac:dyDescent="0.3">
      <c r="E49" s="112" t="s">
        <v>84</v>
      </c>
      <c r="F49" s="34"/>
      <c r="G49" s="136"/>
      <c r="H49" s="147"/>
      <c r="I49" s="147"/>
      <c r="J49" s="147"/>
      <c r="K49" s="147"/>
      <c r="L49" s="147"/>
    </row>
    <row r="50" spans="5:12" ht="20.25" hidden="1" customHeight="1" thickBot="1" x14ac:dyDescent="0.3">
      <c r="E50" s="112" t="s">
        <v>83</v>
      </c>
      <c r="F50" s="34"/>
      <c r="G50" s="136"/>
      <c r="H50" s="147"/>
      <c r="I50" s="147"/>
      <c r="J50" s="147"/>
      <c r="K50" s="147"/>
      <c r="L50" s="147"/>
    </row>
    <row r="51" spans="5:12" ht="20.25" hidden="1" customHeight="1" thickBot="1" x14ac:dyDescent="0.3">
      <c r="E51" s="139" t="s">
        <v>69</v>
      </c>
      <c r="F51" s="144">
        <v>1</v>
      </c>
      <c r="G51" s="136"/>
      <c r="H51" s="148" t="s">
        <v>93</v>
      </c>
      <c r="I51" s="149" t="str">
        <f>IFERROR(IF(H16&gt;0,(H16*F51*F52*5*60)/(10^7),(H13*F51*F52*5*60)/(10^7)),"")</f>
        <v/>
      </c>
      <c r="J51" s="147"/>
      <c r="K51" s="147"/>
      <c r="L51" s="147"/>
    </row>
    <row r="52" spans="5:12" ht="20.25" hidden="1" customHeight="1" x14ac:dyDescent="0.25">
      <c r="E52" s="112" t="s">
        <v>81</v>
      </c>
      <c r="F52" s="141" t="str">
        <f>IF(F49="","",F49*F50)</f>
        <v/>
      </c>
      <c r="G52" s="136"/>
      <c r="H52" s="342" t="s">
        <v>92</v>
      </c>
      <c r="I52" s="342"/>
      <c r="J52" s="342"/>
      <c r="K52" s="342"/>
      <c r="L52" s="142"/>
    </row>
    <row r="53" spans="5:12" ht="20.25" hidden="1" customHeight="1" x14ac:dyDescent="0.25">
      <c r="E53" s="112" t="s">
        <v>91</v>
      </c>
      <c r="F53" s="141" t="str">
        <f>IFERROR(IF($H$16&gt;0,($H$16*$F$51*$F$52)/10000,$H$13*$F$51*$F$52/10000),"")</f>
        <v/>
      </c>
      <c r="G53" s="136"/>
      <c r="H53" s="342"/>
      <c r="I53" s="342"/>
      <c r="J53" s="342"/>
      <c r="K53" s="342"/>
      <c r="L53" s="142"/>
    </row>
    <row r="54" spans="5:12" ht="20.25" customHeight="1" x14ac:dyDescent="0.25">
      <c r="E54" s="109"/>
      <c r="F54" s="109"/>
      <c r="G54" s="109"/>
      <c r="H54" s="109"/>
      <c r="I54" s="109"/>
      <c r="J54" s="109"/>
      <c r="K54" s="109"/>
      <c r="L54" s="109"/>
    </row>
    <row r="55" spans="5:12" ht="20.25" customHeight="1" x14ac:dyDescent="0.25">
      <c r="E55" s="344" t="s">
        <v>411</v>
      </c>
      <c r="F55" s="345"/>
      <c r="G55" s="345"/>
      <c r="H55" s="345"/>
      <c r="I55" s="345"/>
      <c r="J55" s="345"/>
      <c r="K55" s="345"/>
      <c r="L55" s="345"/>
    </row>
    <row r="56" spans="5:12" ht="69" customHeight="1" x14ac:dyDescent="0.25">
      <c r="E56" s="335" t="s">
        <v>412</v>
      </c>
      <c r="F56" s="335"/>
      <c r="G56" s="335"/>
      <c r="H56" s="335"/>
      <c r="I56" s="335"/>
      <c r="J56" s="335"/>
      <c r="K56" s="335"/>
      <c r="L56" s="335"/>
    </row>
    <row r="57" spans="5:12" ht="20.25" customHeight="1" thickBot="1" x14ac:dyDescent="0.3">
      <c r="E57" s="89"/>
      <c r="F57" s="109"/>
      <c r="G57" s="109"/>
      <c r="H57" s="109"/>
      <c r="I57" s="109"/>
      <c r="J57" s="109"/>
      <c r="K57" s="109"/>
      <c r="L57" s="109"/>
    </row>
    <row r="58" spans="5:12" ht="20.25" customHeight="1" thickBot="1" x14ac:dyDescent="0.3">
      <c r="E58" s="322" t="s">
        <v>407</v>
      </c>
      <c r="F58" s="323"/>
      <c r="G58" s="136"/>
      <c r="H58" s="92" t="s">
        <v>440</v>
      </c>
      <c r="I58" s="138"/>
      <c r="J58" s="138"/>
      <c r="K58" s="139"/>
      <c r="L58" s="109"/>
    </row>
    <row r="59" spans="5:12" ht="20.25" customHeight="1" thickBot="1" x14ac:dyDescent="0.3">
      <c r="E59" s="112" t="s">
        <v>408</v>
      </c>
      <c r="F59" s="34"/>
      <c r="G59" s="136"/>
      <c r="H59" s="324" t="s">
        <v>442</v>
      </c>
      <c r="I59" s="325"/>
      <c r="J59" s="325"/>
      <c r="K59" s="325"/>
      <c r="L59" s="326"/>
    </row>
    <row r="60" spans="5:12" ht="20.25" customHeight="1" thickBot="1" x14ac:dyDescent="0.3">
      <c r="E60" s="112" t="s">
        <v>409</v>
      </c>
      <c r="F60" s="34"/>
      <c r="G60" s="136"/>
      <c r="H60" s="327"/>
      <c r="I60" s="328"/>
      <c r="J60" s="328"/>
      <c r="K60" s="328"/>
      <c r="L60" s="329"/>
    </row>
    <row r="61" spans="5:12" ht="20.25" customHeight="1" thickBot="1" x14ac:dyDescent="0.3">
      <c r="E61" s="139" t="s">
        <v>89</v>
      </c>
      <c r="F61" s="160">
        <f>IF($H$59="","",VLOOKUP($H$59,Tabelle13[],2,0))</f>
        <v>1</v>
      </c>
      <c r="G61" s="136"/>
      <c r="H61" s="330"/>
      <c r="I61" s="331"/>
      <c r="J61" s="331"/>
      <c r="K61" s="331"/>
      <c r="L61" s="332"/>
    </row>
    <row r="62" spans="5:12" ht="20.25" customHeight="1" thickBot="1" x14ac:dyDescent="0.3">
      <c r="E62" s="112" t="s">
        <v>81</v>
      </c>
      <c r="F62" s="161">
        <f>F59*F60</f>
        <v>0</v>
      </c>
      <c r="G62" s="136"/>
      <c r="H62" s="139"/>
      <c r="I62" s="142"/>
      <c r="J62" s="138"/>
      <c r="K62" s="139"/>
      <c r="L62" s="109"/>
    </row>
    <row r="63" spans="5:12" ht="20.25" customHeight="1" thickBot="1" x14ac:dyDescent="0.3">
      <c r="E63" s="112" t="s">
        <v>88</v>
      </c>
      <c r="F63" s="161" t="str">
        <f>IFERROR(IF(J16&gt;0,(F61*F62*$J$16)/10000,(F61*F62*$J$13)/10000),"")</f>
        <v/>
      </c>
      <c r="G63" s="136"/>
      <c r="H63" s="162" t="str">
        <f>IFERROR(3.6*F63,"")</f>
        <v/>
      </c>
      <c r="I63" s="143" t="s">
        <v>77</v>
      </c>
      <c r="J63" s="144" t="str">
        <f>IF($J$16&gt;0,$J$16,$J$13)</f>
        <v/>
      </c>
      <c r="K63" s="136" t="s">
        <v>79</v>
      </c>
      <c r="L63" s="109"/>
    </row>
    <row r="64" spans="5:12" ht="20.25" customHeight="1" thickBot="1" x14ac:dyDescent="0.3">
      <c r="E64" s="109"/>
      <c r="F64" s="109"/>
      <c r="G64" s="109"/>
      <c r="H64" s="109"/>
      <c r="I64" s="109"/>
      <c r="J64" s="109"/>
      <c r="K64" s="109"/>
      <c r="L64" s="109"/>
    </row>
    <row r="65" spans="5:14" ht="20.25" customHeight="1" thickBot="1" x14ac:dyDescent="0.3">
      <c r="E65" s="322" t="s">
        <v>407</v>
      </c>
      <c r="F65" s="323"/>
      <c r="G65" s="136"/>
      <c r="H65" s="92" t="s">
        <v>440</v>
      </c>
      <c r="I65" s="138"/>
      <c r="J65" s="138"/>
      <c r="K65" s="139"/>
      <c r="L65" s="109"/>
    </row>
    <row r="66" spans="5:14" ht="20.25" customHeight="1" thickBot="1" x14ac:dyDescent="0.3">
      <c r="E66" s="112" t="s">
        <v>408</v>
      </c>
      <c r="F66" s="34"/>
      <c r="G66" s="136"/>
      <c r="H66" s="324" t="s">
        <v>444</v>
      </c>
      <c r="I66" s="325"/>
      <c r="J66" s="325"/>
      <c r="K66" s="325"/>
      <c r="L66" s="326"/>
    </row>
    <row r="67" spans="5:14" ht="20.25" customHeight="1" thickBot="1" x14ac:dyDescent="0.3">
      <c r="E67" s="112" t="s">
        <v>409</v>
      </c>
      <c r="F67" s="34"/>
      <c r="G67" s="136"/>
      <c r="H67" s="327"/>
      <c r="I67" s="328"/>
      <c r="J67" s="328"/>
      <c r="K67" s="328"/>
      <c r="L67" s="329"/>
    </row>
    <row r="68" spans="5:14" ht="20.25" customHeight="1" thickBot="1" x14ac:dyDescent="0.3">
      <c r="E68" s="139" t="s">
        <v>87</v>
      </c>
      <c r="F68" s="160">
        <f>IF($H$66="","",VLOOKUP($H$66,Tabelle13[],2,0))</f>
        <v>1</v>
      </c>
      <c r="G68" s="136"/>
      <c r="H68" s="330"/>
      <c r="I68" s="331"/>
      <c r="J68" s="331"/>
      <c r="K68" s="331"/>
      <c r="L68" s="332"/>
    </row>
    <row r="69" spans="5:14" ht="20.25" customHeight="1" thickBot="1" x14ac:dyDescent="0.3">
      <c r="E69" s="112" t="s">
        <v>81</v>
      </c>
      <c r="F69" s="161">
        <f>F66*F67</f>
        <v>0</v>
      </c>
      <c r="G69" s="136"/>
      <c r="H69" s="139"/>
      <c r="I69" s="142"/>
      <c r="J69" s="138"/>
      <c r="K69" s="139"/>
      <c r="L69" s="109"/>
    </row>
    <row r="70" spans="5:14" ht="20.25" customHeight="1" thickBot="1" x14ac:dyDescent="0.3">
      <c r="E70" s="112" t="s">
        <v>86</v>
      </c>
      <c r="F70" s="161" t="str">
        <f>IFERROR(IF(J25&gt;0,(F68*F69*$J$16)/10000,(F68*F69*$J$13)/10000),"")</f>
        <v/>
      </c>
      <c r="G70" s="136"/>
      <c r="H70" s="162" t="str">
        <f>IFERROR(3.6*F70,"")</f>
        <v/>
      </c>
      <c r="I70" s="143" t="s">
        <v>77</v>
      </c>
      <c r="J70" s="144" t="str">
        <f>IF($J$16&gt;0,$J$16,$J$13)</f>
        <v/>
      </c>
      <c r="K70" s="136" t="s">
        <v>79</v>
      </c>
      <c r="L70" s="109"/>
    </row>
    <row r="71" spans="5:14" ht="20.25" customHeight="1" thickBot="1" x14ac:dyDescent="0.3">
      <c r="E71" s="109"/>
      <c r="F71" s="109"/>
      <c r="G71" s="109"/>
      <c r="H71" s="109"/>
      <c r="I71" s="109"/>
      <c r="J71" s="109"/>
      <c r="K71" s="109"/>
      <c r="L71" s="109"/>
    </row>
    <row r="72" spans="5:14" ht="20.25" customHeight="1" thickBot="1" x14ac:dyDescent="0.3">
      <c r="E72" s="322" t="s">
        <v>407</v>
      </c>
      <c r="F72" s="323"/>
      <c r="G72" s="136"/>
      <c r="H72" s="92" t="s">
        <v>440</v>
      </c>
      <c r="I72" s="138"/>
      <c r="J72" s="138"/>
      <c r="K72" s="139"/>
      <c r="L72" s="109"/>
    </row>
    <row r="73" spans="5:14" ht="20.25" customHeight="1" thickBot="1" x14ac:dyDescent="0.3">
      <c r="E73" s="112" t="s">
        <v>408</v>
      </c>
      <c r="F73" s="34"/>
      <c r="G73" s="136"/>
      <c r="H73" s="324" t="s">
        <v>441</v>
      </c>
      <c r="I73" s="325"/>
      <c r="J73" s="325"/>
      <c r="K73" s="325"/>
      <c r="L73" s="326"/>
    </row>
    <row r="74" spans="5:14" ht="20.25" customHeight="1" thickBot="1" x14ac:dyDescent="0.3">
      <c r="E74" s="112" t="s">
        <v>409</v>
      </c>
      <c r="F74" s="34"/>
      <c r="G74" s="136"/>
      <c r="H74" s="327"/>
      <c r="I74" s="328"/>
      <c r="J74" s="328"/>
      <c r="K74" s="328"/>
      <c r="L74" s="329"/>
    </row>
    <row r="75" spans="5:14" ht="20.25" customHeight="1" thickBot="1" x14ac:dyDescent="0.3">
      <c r="E75" s="139" t="s">
        <v>82</v>
      </c>
      <c r="F75" s="160">
        <f>IF($H$73="","",VLOOKUP($H$73,Tabelle13[],2,0))</f>
        <v>1</v>
      </c>
      <c r="G75" s="136"/>
      <c r="H75" s="330"/>
      <c r="I75" s="331"/>
      <c r="J75" s="331"/>
      <c r="K75" s="331"/>
      <c r="L75" s="332"/>
    </row>
    <row r="76" spans="5:14" ht="20.25" customHeight="1" thickBot="1" x14ac:dyDescent="0.3">
      <c r="E76" s="112" t="s">
        <v>81</v>
      </c>
      <c r="F76" s="161">
        <f>F73*F74</f>
        <v>0</v>
      </c>
      <c r="G76" s="136"/>
      <c r="H76" s="139"/>
      <c r="I76" s="142"/>
      <c r="J76" s="138"/>
      <c r="K76" s="139"/>
      <c r="L76" s="138"/>
    </row>
    <row r="77" spans="5:14" ht="20.25" customHeight="1" thickBot="1" x14ac:dyDescent="0.3">
      <c r="E77" s="112" t="s">
        <v>80</v>
      </c>
      <c r="F77" s="161" t="str">
        <f>IFERROR(IF(J32&gt;0,(F75*F76*$J$16)/10000,(F75*F76*$J$13)/10000),"")</f>
        <v/>
      </c>
      <c r="G77" s="136"/>
      <c r="H77" s="162" t="str">
        <f>IFERROR(3.6*F77,"")</f>
        <v/>
      </c>
      <c r="I77" s="143" t="s">
        <v>77</v>
      </c>
      <c r="J77" s="144" t="str">
        <f>IF($J$16&gt;0,$J$16,$J$13)</f>
        <v/>
      </c>
      <c r="K77" s="136" t="s">
        <v>79</v>
      </c>
      <c r="L77" s="138"/>
    </row>
    <row r="78" spans="5:14" ht="32.25" customHeight="1" thickBot="1" x14ac:dyDescent="0.3">
      <c r="E78" s="335" t="s">
        <v>410</v>
      </c>
      <c r="F78" s="335"/>
      <c r="G78" s="335"/>
      <c r="H78" s="335"/>
      <c r="I78" s="335"/>
      <c r="J78" s="335"/>
      <c r="K78" s="335"/>
      <c r="L78" s="138"/>
      <c r="N78" s="145"/>
    </row>
    <row r="79" spans="5:14" ht="24" customHeight="1" thickBot="1" x14ac:dyDescent="0.3">
      <c r="E79" s="112" t="s">
        <v>78</v>
      </c>
      <c r="F79" s="163" t="str">
        <f>IFERROR(F77+F70+F63,"")</f>
        <v/>
      </c>
      <c r="G79" s="136"/>
      <c r="H79" s="163" t="str">
        <f>IFERROR(H77+H70+H63,"")</f>
        <v/>
      </c>
      <c r="I79" s="143" t="s">
        <v>77</v>
      </c>
      <c r="J79" s="138"/>
      <c r="K79" s="138"/>
      <c r="L79" s="138"/>
    </row>
    <row r="80" spans="5:14" ht="20.25" customHeight="1" x14ac:dyDescent="0.25">
      <c r="E80" s="138"/>
      <c r="F80" s="138"/>
      <c r="G80" s="138"/>
      <c r="H80" s="138"/>
      <c r="I80" s="138"/>
      <c r="J80" s="138"/>
      <c r="K80" s="138"/>
      <c r="L80" s="138"/>
    </row>
    <row r="81" spans="5:13" ht="31.5" hidden="1" customHeight="1" x14ac:dyDescent="0.25">
      <c r="E81" s="343" t="s">
        <v>76</v>
      </c>
      <c r="F81" s="343"/>
      <c r="G81" s="343"/>
      <c r="H81" s="343"/>
      <c r="I81" s="343"/>
      <c r="J81" s="343"/>
      <c r="K81" s="343"/>
      <c r="L81" s="343"/>
    </row>
    <row r="82" spans="5:13" ht="147.75" hidden="1" customHeight="1" x14ac:dyDescent="0.25">
      <c r="E82" s="335" t="s">
        <v>75</v>
      </c>
      <c r="F82" s="335"/>
      <c r="G82" s="335"/>
      <c r="H82" s="335"/>
      <c r="I82" s="335"/>
      <c r="J82" s="335"/>
      <c r="K82" s="335"/>
      <c r="L82" s="335"/>
    </row>
    <row r="83" spans="5:13" ht="20.25" hidden="1" customHeight="1" x14ac:dyDescent="0.25">
      <c r="E83" s="89"/>
      <c r="F83" s="109"/>
      <c r="G83" s="109"/>
      <c r="H83" s="109"/>
      <c r="I83" s="109"/>
      <c r="J83" s="109"/>
      <c r="K83" s="109"/>
      <c r="L83" s="138"/>
    </row>
    <row r="84" spans="5:13" ht="20.25" hidden="1" customHeight="1" x14ac:dyDescent="0.25">
      <c r="E84" s="89"/>
      <c r="F84" s="109"/>
      <c r="G84" s="109"/>
      <c r="H84" s="109"/>
      <c r="I84" s="109"/>
      <c r="J84" s="109"/>
      <c r="K84" s="109"/>
      <c r="L84" s="138"/>
    </row>
    <row r="85" spans="5:13" ht="8.25" hidden="1" customHeight="1" x14ac:dyDescent="0.25">
      <c r="E85" s="89"/>
      <c r="F85" s="109"/>
      <c r="G85" s="109"/>
      <c r="H85" s="109"/>
      <c r="I85" s="109"/>
      <c r="J85" s="109"/>
      <c r="K85" s="109"/>
      <c r="L85" s="138"/>
    </row>
    <row r="86" spans="5:13" ht="20.25" hidden="1" customHeight="1" x14ac:dyDescent="0.35">
      <c r="E86" s="150" t="s">
        <v>64</v>
      </c>
      <c r="F86" s="151" t="s">
        <v>74</v>
      </c>
      <c r="G86" s="152"/>
      <c r="H86" s="152"/>
      <c r="I86" s="152"/>
      <c r="J86" s="152"/>
      <c r="K86" s="152"/>
      <c r="L86" s="138"/>
    </row>
    <row r="87" spans="5:13" ht="80.25" hidden="1" customHeight="1" x14ac:dyDescent="0.25">
      <c r="E87" s="153" t="s">
        <v>73</v>
      </c>
      <c r="F87" s="340" t="s">
        <v>72</v>
      </c>
      <c r="G87" s="340"/>
      <c r="H87" s="340"/>
      <c r="I87" s="340"/>
      <c r="J87" s="340"/>
      <c r="K87" s="340"/>
      <c r="L87" s="138"/>
    </row>
    <row r="88" spans="5:13" ht="20.25" hidden="1" customHeight="1" x14ac:dyDescent="0.35">
      <c r="E88" s="150" t="s">
        <v>71</v>
      </c>
      <c r="F88" s="152" t="s">
        <v>70</v>
      </c>
      <c r="G88" s="152"/>
      <c r="H88" s="152"/>
      <c r="I88" s="152"/>
      <c r="J88" s="152"/>
      <c r="K88" s="152"/>
      <c r="L88" s="138"/>
      <c r="M88" s="154"/>
    </row>
    <row r="89" spans="5:13" ht="20.25" hidden="1" customHeight="1" x14ac:dyDescent="0.25">
      <c r="E89" s="150" t="s">
        <v>69</v>
      </c>
      <c r="F89" s="152" t="s">
        <v>68</v>
      </c>
      <c r="G89" s="152"/>
      <c r="H89" s="152"/>
      <c r="I89" s="152"/>
      <c r="J89" s="152"/>
      <c r="K89" s="152"/>
      <c r="L89" s="138"/>
    </row>
    <row r="90" spans="5:13" ht="20.25" hidden="1" customHeight="1" x14ac:dyDescent="0.35">
      <c r="E90" s="150" t="s">
        <v>65</v>
      </c>
      <c r="F90" s="152" t="s">
        <v>67</v>
      </c>
      <c r="G90" s="152"/>
      <c r="H90" s="152"/>
      <c r="I90" s="152"/>
      <c r="J90" s="152"/>
      <c r="K90" s="152"/>
      <c r="L90" s="138"/>
    </row>
    <row r="91" spans="5:13" ht="20.25" hidden="1" customHeight="1" x14ac:dyDescent="0.25">
      <c r="E91" s="155"/>
      <c r="F91" s="155"/>
      <c r="G91" s="155"/>
      <c r="H91" s="155"/>
      <c r="I91" s="155"/>
      <c r="J91" s="155"/>
      <c r="K91" s="155"/>
      <c r="L91" s="138"/>
    </row>
    <row r="92" spans="5:13" ht="111" hidden="1" customHeight="1" x14ac:dyDescent="0.25">
      <c r="E92" s="341" t="s">
        <v>66</v>
      </c>
      <c r="F92" s="341"/>
      <c r="G92" s="341"/>
      <c r="H92" s="341"/>
      <c r="I92" s="341"/>
      <c r="J92" s="341"/>
      <c r="K92" s="341"/>
      <c r="L92" s="136"/>
    </row>
    <row r="93" spans="5:13" ht="20.25" hidden="1" customHeight="1" x14ac:dyDescent="0.25">
      <c r="E93" s="138"/>
      <c r="F93" s="138"/>
      <c r="G93" s="138"/>
      <c r="H93" s="138"/>
      <c r="I93" s="138"/>
      <c r="J93" s="138"/>
      <c r="K93" s="138"/>
      <c r="L93" s="136"/>
    </row>
    <row r="94" spans="5:13" ht="20.25" hidden="1" customHeight="1" thickBot="1" x14ac:dyDescent="0.4">
      <c r="E94" s="150" t="s">
        <v>65</v>
      </c>
      <c r="F94" s="156">
        <f>SUM(F76,F69,F62)</f>
        <v>0</v>
      </c>
      <c r="G94" s="138"/>
      <c r="H94" s="138"/>
      <c r="I94" s="138"/>
      <c r="J94" s="138"/>
      <c r="K94" s="138"/>
      <c r="L94" s="136"/>
    </row>
    <row r="95" spans="5:13" ht="20.25" hidden="1" customHeight="1" thickBot="1" x14ac:dyDescent="0.3">
      <c r="E95" s="89" t="s">
        <v>64</v>
      </c>
      <c r="F95" s="146" t="str">
        <f>IF(F94=0,"",IF($I$16&gt;0,((I16*F94)-F79)*((5*60)/(10^7)),((I13*F94)-F79)*((5*60)/(10^7))))</f>
        <v/>
      </c>
      <c r="G95" s="157"/>
      <c r="H95" s="138"/>
      <c r="I95" s="138"/>
      <c r="J95" s="138"/>
      <c r="K95" s="138"/>
      <c r="L95" s="136"/>
    </row>
    <row r="96" spans="5:13" ht="20.25" hidden="1" customHeight="1" x14ac:dyDescent="0.25">
      <c r="E96" s="138"/>
      <c r="F96" s="138"/>
      <c r="G96" s="138"/>
      <c r="H96" s="138"/>
      <c r="I96" s="138"/>
      <c r="J96" s="138"/>
      <c r="K96" s="138"/>
      <c r="L96" s="136"/>
    </row>
    <row r="97" spans="5:12" ht="20.25" customHeight="1" x14ac:dyDescent="0.25">
      <c r="E97" s="136"/>
      <c r="F97" s="136"/>
      <c r="G97" s="136"/>
      <c r="H97" s="136"/>
      <c r="I97" s="136"/>
      <c r="J97" s="136"/>
      <c r="K97" s="136"/>
      <c r="L97" s="136"/>
    </row>
    <row r="98" spans="5:12" ht="20.25" customHeight="1" x14ac:dyDescent="0.25">
      <c r="E98" s="136"/>
      <c r="F98" s="136"/>
      <c r="G98" s="136"/>
      <c r="H98" s="136"/>
      <c r="I98" s="136"/>
      <c r="J98" s="136"/>
      <c r="K98" s="136"/>
      <c r="L98" s="136"/>
    </row>
    <row r="99" spans="5:12" ht="20.25" customHeight="1" x14ac:dyDescent="0.25">
      <c r="E99" s="136"/>
      <c r="F99" s="158"/>
      <c r="G99" s="136"/>
      <c r="H99" s="109"/>
      <c r="I99" s="109"/>
      <c r="J99" s="136"/>
      <c r="K99" s="136"/>
      <c r="L99" s="136"/>
    </row>
    <row r="100" spans="5:12" ht="20.25" customHeight="1" x14ac:dyDescent="0.25">
      <c r="E100" s="136"/>
      <c r="F100" s="136"/>
      <c r="G100" s="136"/>
      <c r="H100" s="136"/>
      <c r="I100" s="136"/>
      <c r="J100" s="136"/>
      <c r="K100" s="136"/>
      <c r="L100" s="136"/>
    </row>
    <row r="101" spans="5:12" ht="20.25" customHeight="1" x14ac:dyDescent="0.25">
      <c r="E101" s="136"/>
      <c r="F101" s="136"/>
      <c r="G101" s="136"/>
      <c r="H101" s="136"/>
      <c r="I101" s="136"/>
      <c r="J101" s="136"/>
      <c r="K101" s="136"/>
      <c r="L101" s="136"/>
    </row>
    <row r="102" spans="5:12" ht="20.25" customHeight="1" x14ac:dyDescent="0.25">
      <c r="E102" s="136"/>
      <c r="F102" s="136"/>
      <c r="G102" s="136"/>
      <c r="H102" s="136"/>
      <c r="I102" s="136"/>
      <c r="J102" s="136"/>
      <c r="K102" s="136"/>
      <c r="L102" s="136"/>
    </row>
    <row r="103" spans="5:12" ht="20.25" customHeight="1" x14ac:dyDescent="0.25">
      <c r="E103" s="136"/>
      <c r="F103" s="136"/>
      <c r="G103" s="136"/>
      <c r="H103" s="136"/>
      <c r="I103" s="136"/>
      <c r="J103" s="136"/>
      <c r="K103" s="136"/>
      <c r="L103" s="136"/>
    </row>
    <row r="104" spans="5:12" ht="20.25" customHeight="1" x14ac:dyDescent="0.25">
      <c r="E104" s="136"/>
      <c r="F104" s="136"/>
      <c r="G104" s="136"/>
      <c r="H104" s="136"/>
      <c r="I104" s="136"/>
      <c r="J104" s="136"/>
      <c r="K104" s="136"/>
      <c r="L104" s="136"/>
    </row>
    <row r="105" spans="5:12" ht="20.25" customHeight="1" x14ac:dyDescent="0.25">
      <c r="E105" s="136"/>
      <c r="F105" s="136"/>
      <c r="G105" s="136"/>
      <c r="H105" s="136"/>
      <c r="I105" s="136"/>
      <c r="J105" s="136"/>
      <c r="K105" s="136"/>
      <c r="L105" s="136"/>
    </row>
    <row r="106" spans="5:12" ht="20.25" customHeight="1" x14ac:dyDescent="0.25">
      <c r="E106" s="136"/>
      <c r="F106" s="136"/>
      <c r="G106" s="136"/>
      <c r="H106" s="136"/>
      <c r="I106" s="136"/>
      <c r="J106" s="136"/>
      <c r="K106" s="136"/>
      <c r="L106" s="136"/>
    </row>
    <row r="107" spans="5:12" ht="20.25" customHeight="1" x14ac:dyDescent="0.25">
      <c r="E107" s="136"/>
      <c r="F107" s="136"/>
      <c r="G107" s="136"/>
      <c r="H107" s="136"/>
      <c r="I107" s="136"/>
      <c r="J107" s="136"/>
      <c r="K107" s="136"/>
      <c r="L107" s="136"/>
    </row>
    <row r="108" spans="5:12" ht="20.25" customHeight="1" x14ac:dyDescent="0.25">
      <c r="E108" s="136"/>
      <c r="F108" s="136"/>
      <c r="G108" s="136"/>
      <c r="H108" s="136"/>
      <c r="I108" s="136"/>
      <c r="J108" s="136"/>
      <c r="K108" s="136"/>
      <c r="L108" s="136"/>
    </row>
    <row r="109" spans="5:12" ht="20.25" customHeight="1" x14ac:dyDescent="0.25">
      <c r="E109" s="136"/>
      <c r="F109" s="136"/>
      <c r="G109" s="136"/>
      <c r="H109" s="136"/>
      <c r="I109" s="136"/>
      <c r="J109" s="136"/>
      <c r="K109" s="136"/>
      <c r="L109" s="136"/>
    </row>
    <row r="110" spans="5:12" ht="20.25" customHeight="1" x14ac:dyDescent="0.25">
      <c r="E110" s="136"/>
      <c r="F110" s="136"/>
      <c r="G110" s="136"/>
      <c r="H110" s="136"/>
      <c r="I110" s="136"/>
      <c r="J110" s="136"/>
      <c r="K110" s="136"/>
      <c r="L110" s="136"/>
    </row>
    <row r="111" spans="5:12" ht="20.25" customHeight="1" x14ac:dyDescent="0.25">
      <c r="E111" s="136"/>
      <c r="F111" s="136"/>
      <c r="G111" s="136"/>
      <c r="H111" s="136"/>
      <c r="I111" s="136"/>
      <c r="J111" s="136"/>
      <c r="K111" s="136"/>
      <c r="L111" s="136"/>
    </row>
    <row r="112" spans="5:12" ht="20.25" customHeight="1" x14ac:dyDescent="0.25">
      <c r="E112" s="136"/>
      <c r="F112" s="136"/>
      <c r="G112" s="136"/>
      <c r="H112" s="136"/>
      <c r="I112" s="136"/>
      <c r="J112" s="136"/>
      <c r="K112" s="136"/>
      <c r="L112" s="136"/>
    </row>
    <row r="113" spans="5:12" ht="20.25" customHeight="1" x14ac:dyDescent="0.25">
      <c r="E113" s="136"/>
      <c r="F113" s="136"/>
      <c r="G113" s="136"/>
      <c r="H113" s="136"/>
      <c r="I113" s="136"/>
      <c r="J113" s="136"/>
      <c r="K113" s="136"/>
      <c r="L113" s="136"/>
    </row>
    <row r="114" spans="5:12" ht="20.25" customHeight="1" x14ac:dyDescent="0.25">
      <c r="E114" s="136"/>
      <c r="F114" s="136"/>
      <c r="G114" s="136"/>
      <c r="H114" s="136"/>
      <c r="I114" s="136"/>
      <c r="J114" s="136"/>
      <c r="K114" s="136"/>
      <c r="L114" s="136"/>
    </row>
    <row r="115" spans="5:12" ht="20.25" customHeight="1" x14ac:dyDescent="0.25">
      <c r="E115" s="136"/>
      <c r="F115" s="136"/>
      <c r="G115" s="136"/>
      <c r="H115" s="136"/>
      <c r="I115" s="136"/>
      <c r="J115" s="136"/>
      <c r="K115" s="136"/>
      <c r="L115" s="136"/>
    </row>
    <row r="116" spans="5:12" ht="20.25" customHeight="1" x14ac:dyDescent="0.25">
      <c r="E116" s="136"/>
      <c r="F116" s="136"/>
      <c r="G116" s="136"/>
      <c r="H116" s="136"/>
      <c r="I116" s="136"/>
      <c r="J116" s="136"/>
      <c r="K116" s="136"/>
      <c r="L116" s="136"/>
    </row>
    <row r="117" spans="5:12" ht="20.25" customHeight="1" x14ac:dyDescent="0.25">
      <c r="E117" s="136"/>
      <c r="F117" s="136"/>
      <c r="G117" s="136"/>
      <c r="H117" s="136"/>
      <c r="I117" s="136"/>
      <c r="J117" s="136"/>
      <c r="K117" s="136"/>
      <c r="L117" s="136"/>
    </row>
    <row r="118" spans="5:12" ht="20.25" customHeight="1" x14ac:dyDescent="0.25">
      <c r="E118" s="136"/>
      <c r="F118" s="136"/>
      <c r="G118" s="136"/>
      <c r="H118" s="136"/>
      <c r="I118" s="136"/>
      <c r="J118" s="136"/>
      <c r="K118" s="136"/>
      <c r="L118" s="136"/>
    </row>
    <row r="119" spans="5:12" ht="20.25" customHeight="1" x14ac:dyDescent="0.25">
      <c r="E119" s="136"/>
      <c r="F119" s="136"/>
      <c r="G119" s="136"/>
      <c r="H119" s="136"/>
      <c r="I119" s="136"/>
      <c r="J119" s="136"/>
      <c r="K119" s="136"/>
      <c r="L119" s="136"/>
    </row>
    <row r="120" spans="5:12" ht="20.25" customHeight="1" x14ac:dyDescent="0.25">
      <c r="E120" s="136"/>
      <c r="F120" s="136"/>
      <c r="G120" s="136"/>
      <c r="H120" s="136"/>
      <c r="I120" s="136"/>
      <c r="J120" s="136"/>
      <c r="K120" s="136"/>
      <c r="L120" s="136"/>
    </row>
    <row r="121" spans="5:12" ht="20.25" customHeight="1" x14ac:dyDescent="0.25">
      <c r="E121" s="136"/>
      <c r="F121" s="136"/>
      <c r="G121" s="136"/>
      <c r="H121" s="136"/>
      <c r="I121" s="136"/>
      <c r="J121" s="136"/>
      <c r="K121" s="136"/>
      <c r="L121" s="136"/>
    </row>
    <row r="122" spans="5:12" ht="20.25" customHeight="1" x14ac:dyDescent="0.25">
      <c r="E122" s="136"/>
      <c r="F122" s="136"/>
      <c r="G122" s="136"/>
      <c r="H122" s="136"/>
      <c r="I122" s="136"/>
      <c r="J122" s="136"/>
      <c r="K122" s="136"/>
      <c r="L122" s="136"/>
    </row>
    <row r="123" spans="5:12" ht="20.25" customHeight="1" x14ac:dyDescent="0.25">
      <c r="E123" s="136"/>
      <c r="F123" s="136"/>
      <c r="G123" s="136"/>
      <c r="H123" s="136"/>
      <c r="I123" s="136"/>
      <c r="J123" s="136"/>
      <c r="K123" s="136"/>
      <c r="L123" s="136"/>
    </row>
    <row r="124" spans="5:12" ht="20.25" customHeight="1" x14ac:dyDescent="0.25">
      <c r="E124" s="136"/>
      <c r="F124" s="136"/>
      <c r="G124" s="136"/>
      <c r="H124" s="136"/>
      <c r="I124" s="136"/>
      <c r="J124" s="136"/>
      <c r="K124" s="136"/>
      <c r="L124" s="136"/>
    </row>
    <row r="125" spans="5:12" ht="20.25" customHeight="1" x14ac:dyDescent="0.25">
      <c r="E125" s="136"/>
      <c r="F125" s="136"/>
      <c r="G125" s="136"/>
      <c r="H125" s="136"/>
      <c r="I125" s="136"/>
      <c r="J125" s="136"/>
      <c r="K125" s="136"/>
      <c r="L125" s="136"/>
    </row>
    <row r="126" spans="5:12" ht="20.25" customHeight="1" x14ac:dyDescent="0.25">
      <c r="E126" s="136"/>
      <c r="F126" s="136"/>
      <c r="G126" s="136"/>
      <c r="H126" s="136"/>
      <c r="I126" s="136"/>
      <c r="J126" s="136"/>
      <c r="K126" s="136"/>
      <c r="L126" s="136"/>
    </row>
    <row r="127" spans="5:12" ht="20.25" customHeight="1" x14ac:dyDescent="0.25">
      <c r="E127" s="136"/>
      <c r="F127" s="136"/>
      <c r="G127" s="136"/>
      <c r="H127" s="136"/>
      <c r="I127" s="136"/>
      <c r="J127" s="136"/>
      <c r="K127" s="136"/>
      <c r="L127" s="136"/>
    </row>
    <row r="128" spans="5:12" ht="20.25" customHeight="1" x14ac:dyDescent="0.25">
      <c r="E128" s="136"/>
      <c r="F128" s="136"/>
      <c r="G128" s="136"/>
      <c r="H128" s="136"/>
      <c r="I128" s="136"/>
      <c r="J128" s="136"/>
      <c r="K128" s="136"/>
      <c r="L128" s="136"/>
    </row>
    <row r="129" spans="5:12" ht="20.25" customHeight="1" x14ac:dyDescent="0.25">
      <c r="E129" s="136"/>
      <c r="F129" s="136"/>
      <c r="G129" s="136"/>
      <c r="H129" s="136"/>
      <c r="I129" s="136"/>
      <c r="J129" s="136"/>
      <c r="K129" s="136"/>
      <c r="L129" s="136"/>
    </row>
    <row r="130" spans="5:12" ht="20.25" customHeight="1" x14ac:dyDescent="0.25">
      <c r="E130" s="136"/>
      <c r="F130" s="136"/>
      <c r="G130" s="136"/>
      <c r="H130" s="136"/>
      <c r="I130" s="136"/>
      <c r="J130" s="136"/>
      <c r="K130" s="136"/>
      <c r="L130" s="136"/>
    </row>
    <row r="131" spans="5:12" ht="20.25" customHeight="1" x14ac:dyDescent="0.25">
      <c r="E131" s="136"/>
      <c r="F131" s="136"/>
      <c r="G131" s="136"/>
      <c r="H131" s="136"/>
      <c r="I131" s="136"/>
      <c r="J131" s="136"/>
      <c r="K131" s="136"/>
      <c r="L131" s="136"/>
    </row>
    <row r="132" spans="5:12" ht="20.25" customHeight="1" x14ac:dyDescent="0.25">
      <c r="E132" s="136"/>
      <c r="F132" s="136"/>
      <c r="G132" s="136"/>
      <c r="H132" s="136"/>
      <c r="I132" s="136"/>
      <c r="J132" s="136"/>
      <c r="K132" s="136"/>
      <c r="L132" s="136"/>
    </row>
    <row r="133" spans="5:12" ht="20.25" customHeight="1" x14ac:dyDescent="0.25">
      <c r="E133" s="136"/>
      <c r="F133" s="136"/>
      <c r="G133" s="136"/>
      <c r="H133" s="136"/>
      <c r="I133" s="136"/>
      <c r="J133" s="136"/>
      <c r="K133" s="136"/>
      <c r="L133" s="136"/>
    </row>
    <row r="134" spans="5:12" ht="20.25" customHeight="1" x14ac:dyDescent="0.25">
      <c r="E134" s="136"/>
      <c r="F134" s="136"/>
      <c r="G134" s="136"/>
      <c r="H134" s="136"/>
      <c r="I134" s="136"/>
      <c r="J134" s="136"/>
      <c r="K134" s="136"/>
      <c r="L134" s="136"/>
    </row>
    <row r="135" spans="5:12" ht="20.25" customHeight="1" x14ac:dyDescent="0.25">
      <c r="E135" s="136"/>
      <c r="F135" s="136"/>
      <c r="G135" s="136"/>
      <c r="H135" s="136"/>
      <c r="I135" s="136"/>
      <c r="J135" s="136"/>
      <c r="K135" s="136"/>
      <c r="L135" s="136"/>
    </row>
    <row r="136" spans="5:12" ht="20.25" customHeight="1" x14ac:dyDescent="0.25">
      <c r="E136" s="136"/>
      <c r="F136" s="136"/>
      <c r="G136" s="136"/>
      <c r="H136" s="136"/>
      <c r="I136" s="136"/>
      <c r="J136" s="136"/>
      <c r="K136" s="136"/>
      <c r="L136" s="136"/>
    </row>
    <row r="137" spans="5:12" ht="20.25" customHeight="1" x14ac:dyDescent="0.25">
      <c r="E137" s="136"/>
      <c r="F137" s="136"/>
      <c r="G137" s="136"/>
      <c r="H137" s="136"/>
      <c r="I137" s="136"/>
      <c r="J137" s="136"/>
      <c r="K137" s="136"/>
      <c r="L137" s="136"/>
    </row>
    <row r="138" spans="5:12" ht="20.25" customHeight="1" x14ac:dyDescent="0.25">
      <c r="E138" s="136"/>
      <c r="F138" s="136"/>
      <c r="G138" s="136"/>
      <c r="H138" s="136"/>
      <c r="I138" s="136"/>
      <c r="J138" s="136"/>
      <c r="K138" s="136"/>
      <c r="L138" s="136"/>
    </row>
    <row r="139" spans="5:12" ht="20.25" customHeight="1" x14ac:dyDescent="0.25">
      <c r="E139" s="136"/>
      <c r="F139" s="136"/>
      <c r="G139" s="136"/>
      <c r="H139" s="136"/>
      <c r="I139" s="136"/>
      <c r="J139" s="136"/>
      <c r="K139" s="136"/>
      <c r="L139" s="136"/>
    </row>
    <row r="140" spans="5:12" ht="20.25" customHeight="1" x14ac:dyDescent="0.25">
      <c r="E140" s="136"/>
      <c r="F140" s="136"/>
      <c r="G140" s="136"/>
      <c r="H140" s="136"/>
      <c r="I140" s="136"/>
      <c r="J140" s="136"/>
      <c r="K140" s="136"/>
      <c r="L140" s="136"/>
    </row>
    <row r="141" spans="5:12" ht="20.25" customHeight="1" x14ac:dyDescent="0.25">
      <c r="E141" s="136"/>
      <c r="F141" s="136"/>
      <c r="G141" s="136"/>
      <c r="H141" s="136"/>
      <c r="I141" s="136"/>
      <c r="J141" s="136"/>
      <c r="K141" s="136"/>
      <c r="L141" s="136"/>
    </row>
    <row r="142" spans="5:12" ht="20.25" customHeight="1" x14ac:dyDescent="0.25">
      <c r="E142" s="136"/>
      <c r="F142" s="136"/>
      <c r="G142" s="136"/>
      <c r="H142" s="136"/>
      <c r="I142" s="136"/>
      <c r="J142" s="136"/>
      <c r="K142" s="136"/>
      <c r="L142" s="136"/>
    </row>
    <row r="143" spans="5:12" ht="20.25" customHeight="1" x14ac:dyDescent="0.25">
      <c r="E143" s="136"/>
      <c r="F143" s="136"/>
      <c r="G143" s="136"/>
      <c r="H143" s="136"/>
      <c r="I143" s="136"/>
      <c r="J143" s="136"/>
      <c r="K143" s="136"/>
      <c r="L143" s="136"/>
    </row>
    <row r="144" spans="5:12" ht="20.25" customHeight="1" x14ac:dyDescent="0.25">
      <c r="E144" s="136"/>
      <c r="F144" s="136"/>
      <c r="G144" s="136"/>
      <c r="H144" s="136"/>
      <c r="I144" s="136"/>
      <c r="J144" s="136"/>
      <c r="K144" s="136"/>
      <c r="L144" s="136"/>
    </row>
    <row r="145" spans="5:16" ht="20.25" customHeight="1" x14ac:dyDescent="0.25">
      <c r="E145" s="136"/>
      <c r="F145" s="136"/>
      <c r="G145" s="136"/>
      <c r="H145" s="136"/>
      <c r="I145" s="136"/>
      <c r="J145" s="136"/>
      <c r="K145" s="136"/>
      <c r="L145" s="136"/>
    </row>
    <row r="146" spans="5:16" ht="20.25" customHeight="1" x14ac:dyDescent="0.25">
      <c r="E146" s="136"/>
      <c r="F146" s="136"/>
      <c r="G146" s="136"/>
      <c r="H146" s="136"/>
      <c r="I146" s="136"/>
      <c r="J146" s="136"/>
      <c r="K146" s="136"/>
      <c r="L146" s="136"/>
    </row>
    <row r="147" spans="5:16" ht="20.25" customHeight="1" x14ac:dyDescent="0.25">
      <c r="E147" s="136"/>
      <c r="F147" s="136"/>
      <c r="G147" s="136"/>
      <c r="H147" s="136"/>
      <c r="I147" s="136"/>
      <c r="J147" s="136"/>
      <c r="K147" s="136"/>
      <c r="L147" s="136"/>
    </row>
    <row r="148" spans="5:16" ht="20.25" customHeight="1" x14ac:dyDescent="0.25">
      <c r="E148" s="136"/>
      <c r="F148" s="136"/>
      <c r="G148" s="136"/>
      <c r="H148" s="136"/>
      <c r="I148" s="136"/>
      <c r="J148" s="136"/>
      <c r="K148" s="136"/>
      <c r="L148" s="136"/>
    </row>
    <row r="149" spans="5:16" ht="20.25" customHeight="1" x14ac:dyDescent="0.25">
      <c r="E149" s="136"/>
      <c r="F149" s="136"/>
      <c r="G149" s="136"/>
      <c r="H149" s="136"/>
      <c r="I149" s="136"/>
      <c r="J149" s="136"/>
      <c r="K149" s="136"/>
      <c r="L149" s="136"/>
    </row>
    <row r="150" spans="5:16" ht="20.25" customHeight="1" x14ac:dyDescent="0.25">
      <c r="E150" s="136"/>
      <c r="F150" s="136"/>
      <c r="G150" s="136"/>
      <c r="H150" s="136"/>
      <c r="I150" s="136"/>
      <c r="J150" s="136"/>
      <c r="K150" s="136"/>
      <c r="L150" s="136"/>
    </row>
    <row r="151" spans="5:16" ht="20.25" customHeight="1" x14ac:dyDescent="0.25">
      <c r="E151" s="136"/>
      <c r="F151" s="136"/>
      <c r="G151" s="136"/>
      <c r="H151" s="136"/>
      <c r="I151" s="136"/>
      <c r="J151" s="136"/>
      <c r="K151" s="136"/>
      <c r="L151" s="136"/>
    </row>
    <row r="152" spans="5:16" ht="20.25" customHeight="1" x14ac:dyDescent="0.25">
      <c r="E152" s="136"/>
      <c r="F152" s="136"/>
      <c r="G152" s="136"/>
      <c r="H152" s="136"/>
      <c r="I152" s="136"/>
      <c r="J152" s="136"/>
      <c r="K152" s="136"/>
      <c r="L152" s="136"/>
    </row>
    <row r="153" spans="5:16" ht="20.25" customHeight="1" x14ac:dyDescent="0.25">
      <c r="E153" s="136"/>
      <c r="F153" s="136"/>
      <c r="G153" s="136"/>
      <c r="H153" s="136"/>
      <c r="I153" s="136"/>
      <c r="J153" s="136"/>
      <c r="K153" s="136"/>
      <c r="L153" s="136"/>
    </row>
    <row r="154" spans="5:16" ht="20.25" customHeight="1" x14ac:dyDescent="0.25">
      <c r="E154" s="136"/>
      <c r="F154" s="136"/>
      <c r="G154" s="136"/>
      <c r="H154" s="136"/>
      <c r="I154" s="136"/>
      <c r="J154" s="136"/>
      <c r="K154" s="136"/>
      <c r="L154" s="136"/>
    </row>
    <row r="155" spans="5:16" ht="20.25" customHeight="1" x14ac:dyDescent="0.25">
      <c r="E155" s="136"/>
      <c r="F155" s="136"/>
      <c r="G155" s="136"/>
      <c r="H155" s="136"/>
      <c r="I155" s="136"/>
      <c r="J155" s="136"/>
      <c r="K155" s="136"/>
      <c r="L155" s="136"/>
    </row>
    <row r="156" spans="5:16" ht="20.25" customHeight="1" x14ac:dyDescent="0.25">
      <c r="E156" s="136"/>
      <c r="F156" s="136"/>
      <c r="G156" s="136"/>
      <c r="H156" s="136"/>
      <c r="I156" s="136"/>
      <c r="J156" s="136"/>
      <c r="K156" s="136"/>
      <c r="L156" s="136"/>
    </row>
    <row r="157" spans="5:16" ht="20.25" customHeight="1" x14ac:dyDescent="0.25">
      <c r="E157" s="136"/>
      <c r="F157" s="136"/>
      <c r="G157" s="136"/>
      <c r="H157" s="136"/>
      <c r="I157" s="136"/>
      <c r="J157" s="136"/>
      <c r="K157" s="136"/>
      <c r="L157" s="136"/>
    </row>
    <row r="158" spans="5:16" ht="20.25" customHeight="1" x14ac:dyDescent="0.25">
      <c r="E158" s="136"/>
      <c r="F158" s="136"/>
      <c r="G158" s="136"/>
      <c r="H158" s="136"/>
      <c r="I158" s="136"/>
      <c r="J158" s="136"/>
      <c r="K158" s="136"/>
      <c r="L158" s="136"/>
    </row>
    <row r="159" spans="5:16" ht="20.100000000000001" customHeight="1" x14ac:dyDescent="0.25">
      <c r="E159" s="104"/>
      <c r="F159" s="105"/>
      <c r="G159" s="105"/>
      <c r="H159" s="105"/>
      <c r="I159" s="105"/>
      <c r="J159" s="105"/>
      <c r="K159" s="105"/>
      <c r="L159" s="105"/>
      <c r="M159" s="105"/>
      <c r="N159" s="105"/>
      <c r="O159" s="105"/>
      <c r="P159" s="105"/>
    </row>
    <row r="160" spans="5:16" x14ac:dyDescent="0.25">
      <c r="G160" s="101"/>
      <c r="H160" s="101"/>
      <c r="I160" s="101"/>
      <c r="M160" s="101"/>
      <c r="N160" s="101"/>
      <c r="O160" s="101"/>
    </row>
    <row r="161" spans="5:15" x14ac:dyDescent="0.25">
      <c r="G161" s="101"/>
      <c r="H161" s="101"/>
      <c r="I161" s="101"/>
      <c r="M161" s="101"/>
      <c r="N161" s="101"/>
      <c r="O161" s="101"/>
    </row>
    <row r="167" spans="5:15" x14ac:dyDescent="0.25">
      <c r="E167" s="104"/>
      <c r="J167" s="104"/>
    </row>
    <row r="170" spans="5:15" x14ac:dyDescent="0.25">
      <c r="G170" s="101"/>
      <c r="H170" s="101"/>
      <c r="I170" s="101"/>
      <c r="M170" s="101"/>
      <c r="N170" s="101"/>
      <c r="O170" s="101"/>
    </row>
    <row r="171" spans="5:15" x14ac:dyDescent="0.25">
      <c r="G171" s="101"/>
      <c r="H171" s="101"/>
      <c r="I171" s="101"/>
      <c r="M171" s="101"/>
      <c r="N171" s="101"/>
      <c r="O171" s="101"/>
    </row>
    <row r="172" spans="5:15" x14ac:dyDescent="0.25">
      <c r="G172" s="101"/>
      <c r="H172" s="101"/>
      <c r="I172" s="101"/>
      <c r="M172" s="101"/>
      <c r="N172" s="101"/>
      <c r="O172" s="101"/>
    </row>
    <row r="173" spans="5:15" x14ac:dyDescent="0.25">
      <c r="G173" s="101"/>
      <c r="H173" s="101"/>
      <c r="I173" s="101"/>
      <c r="M173" s="101"/>
      <c r="N173" s="101"/>
      <c r="O173" s="101"/>
    </row>
    <row r="174" spans="5:15" x14ac:dyDescent="0.25">
      <c r="G174" s="101"/>
      <c r="H174" s="101"/>
      <c r="I174" s="101"/>
      <c r="M174" s="101"/>
      <c r="N174" s="101"/>
      <c r="O174" s="101"/>
    </row>
    <row r="175" spans="5:15" x14ac:dyDescent="0.25">
      <c r="G175" s="101"/>
      <c r="H175" s="101"/>
      <c r="I175" s="101"/>
      <c r="M175" s="101"/>
      <c r="N175" s="101"/>
      <c r="O175" s="101"/>
    </row>
    <row r="176" spans="5:15" x14ac:dyDescent="0.25">
      <c r="G176" s="101"/>
      <c r="H176" s="101"/>
      <c r="I176" s="101"/>
      <c r="M176" s="101"/>
      <c r="N176" s="101"/>
      <c r="O176" s="101"/>
    </row>
    <row r="177" spans="7:15" x14ac:dyDescent="0.25">
      <c r="G177" s="101"/>
      <c r="H177" s="101"/>
      <c r="I177" s="101"/>
      <c r="M177" s="101"/>
      <c r="N177" s="101"/>
      <c r="O177" s="101"/>
    </row>
    <row r="178" spans="7:15" x14ac:dyDescent="0.25">
      <c r="G178" s="101"/>
      <c r="H178" s="101"/>
      <c r="I178" s="101"/>
      <c r="M178" s="101"/>
      <c r="N178" s="101"/>
      <c r="O178" s="101"/>
    </row>
    <row r="179" spans="7:15" x14ac:dyDescent="0.25">
      <c r="G179" s="101"/>
      <c r="H179" s="101"/>
      <c r="I179" s="101"/>
      <c r="M179" s="101"/>
      <c r="N179" s="101"/>
      <c r="O179" s="101"/>
    </row>
    <row r="180" spans="7:15" x14ac:dyDescent="0.25">
      <c r="G180" s="101"/>
      <c r="H180" s="101"/>
      <c r="I180" s="101"/>
      <c r="M180" s="101"/>
      <c r="N180" s="101"/>
      <c r="O180" s="101"/>
    </row>
    <row r="181" spans="7:15" x14ac:dyDescent="0.25">
      <c r="G181" s="101"/>
      <c r="H181" s="101"/>
      <c r="I181" s="101"/>
      <c r="M181" s="101"/>
      <c r="N181" s="101"/>
      <c r="O181" s="101"/>
    </row>
    <row r="182" spans="7:15" x14ac:dyDescent="0.25">
      <c r="G182" s="101"/>
      <c r="H182" s="101"/>
      <c r="I182" s="101"/>
      <c r="M182" s="101"/>
      <c r="N182" s="101"/>
      <c r="O182" s="101"/>
    </row>
    <row r="183" spans="7:15" x14ac:dyDescent="0.25">
      <c r="G183" s="101"/>
      <c r="H183" s="101"/>
      <c r="I183" s="101"/>
      <c r="M183" s="101"/>
      <c r="N183" s="101"/>
      <c r="O183" s="101"/>
    </row>
    <row r="197" spans="5:16" x14ac:dyDescent="0.25">
      <c r="E197" s="104"/>
    </row>
    <row r="199" spans="5:16" x14ac:dyDescent="0.25">
      <c r="E199" s="101"/>
      <c r="F199" s="101"/>
      <c r="G199" s="101"/>
      <c r="H199" s="101"/>
      <c r="I199" s="101"/>
      <c r="J199" s="101"/>
      <c r="K199" s="101"/>
      <c r="L199" s="101"/>
      <c r="M199" s="101"/>
      <c r="N199" s="101"/>
      <c r="O199" s="101"/>
      <c r="P199" s="101"/>
    </row>
    <row r="200" spans="5:16" x14ac:dyDescent="0.25">
      <c r="E200" s="101"/>
      <c r="F200" s="101"/>
      <c r="G200" s="101"/>
      <c r="H200" s="101"/>
      <c r="I200" s="101"/>
      <c r="J200" s="101"/>
      <c r="K200" s="101"/>
      <c r="L200" s="101"/>
      <c r="M200" s="101"/>
      <c r="N200" s="101"/>
      <c r="O200" s="101"/>
      <c r="P200" s="101"/>
    </row>
    <row r="201" spans="5:16" x14ac:dyDescent="0.25">
      <c r="E201" s="101"/>
      <c r="F201" s="101"/>
      <c r="G201" s="101"/>
      <c r="H201" s="101"/>
      <c r="I201" s="101"/>
      <c r="J201" s="101"/>
      <c r="K201" s="101"/>
      <c r="L201" s="101"/>
      <c r="M201" s="101"/>
      <c r="N201" s="101"/>
      <c r="O201" s="101"/>
      <c r="P201" s="101"/>
    </row>
    <row r="202" spans="5:16" x14ac:dyDescent="0.25">
      <c r="E202" s="101"/>
      <c r="F202" s="101"/>
      <c r="G202" s="101"/>
      <c r="H202" s="101"/>
      <c r="I202" s="101"/>
      <c r="J202" s="101"/>
      <c r="K202" s="101"/>
      <c r="L202" s="101"/>
      <c r="M202" s="101"/>
      <c r="N202" s="101"/>
      <c r="O202" s="101"/>
      <c r="P202" s="101"/>
    </row>
    <row r="203" spans="5:16" x14ac:dyDescent="0.25">
      <c r="E203" s="101"/>
      <c r="F203" s="101"/>
      <c r="G203" s="101"/>
      <c r="H203" s="101"/>
      <c r="I203" s="101"/>
      <c r="J203" s="101"/>
      <c r="K203" s="101"/>
      <c r="L203" s="101"/>
      <c r="M203" s="101"/>
      <c r="N203" s="101"/>
      <c r="O203" s="101"/>
      <c r="P203" s="101"/>
    </row>
    <row r="204" spans="5:16" x14ac:dyDescent="0.25">
      <c r="E204" s="101"/>
      <c r="F204" s="101"/>
      <c r="G204" s="101"/>
      <c r="H204" s="101"/>
      <c r="I204" s="101"/>
      <c r="J204" s="101"/>
      <c r="K204" s="101"/>
      <c r="L204" s="101"/>
      <c r="M204" s="101"/>
      <c r="N204" s="101"/>
      <c r="O204" s="101"/>
      <c r="P204" s="101"/>
    </row>
    <row r="205" spans="5:16" x14ac:dyDescent="0.25">
      <c r="E205" s="104"/>
      <c r="J205" s="104"/>
    </row>
    <row r="206" spans="5:16" x14ac:dyDescent="0.25">
      <c r="E206" s="104"/>
      <c r="J206" s="104"/>
    </row>
    <row r="208" spans="5:16" x14ac:dyDescent="0.25">
      <c r="G208" s="101"/>
      <c r="H208" s="101"/>
      <c r="I208" s="101"/>
      <c r="M208" s="101"/>
      <c r="N208" s="101"/>
      <c r="O208" s="101"/>
    </row>
    <row r="209" spans="7:15" x14ac:dyDescent="0.25">
      <c r="G209" s="101"/>
      <c r="H209" s="101"/>
      <c r="I209" s="101"/>
      <c r="M209" s="101"/>
      <c r="N209" s="101"/>
      <c r="O209" s="101"/>
    </row>
    <row r="210" spans="7:15" x14ac:dyDescent="0.25">
      <c r="G210" s="101"/>
      <c r="H210" s="101"/>
      <c r="I210" s="101"/>
      <c r="M210" s="101"/>
      <c r="N210" s="101"/>
      <c r="O210" s="101"/>
    </row>
    <row r="211" spans="7:15" x14ac:dyDescent="0.25">
      <c r="G211" s="101"/>
      <c r="H211" s="101"/>
      <c r="I211" s="101"/>
      <c r="M211" s="101"/>
      <c r="N211" s="101"/>
      <c r="O211" s="101"/>
    </row>
    <row r="212" spans="7:15" x14ac:dyDescent="0.25">
      <c r="G212" s="101"/>
      <c r="H212" s="101"/>
      <c r="I212" s="101"/>
      <c r="M212" s="101"/>
      <c r="N212" s="101"/>
      <c r="O212" s="101"/>
    </row>
    <row r="213" spans="7:15" x14ac:dyDescent="0.25">
      <c r="G213" s="101"/>
      <c r="H213" s="101"/>
      <c r="I213" s="101"/>
      <c r="M213" s="101"/>
      <c r="N213" s="101"/>
      <c r="O213" s="101"/>
    </row>
    <row r="214" spans="7:15" x14ac:dyDescent="0.25">
      <c r="G214" s="101"/>
      <c r="H214" s="101"/>
      <c r="I214" s="101"/>
      <c r="M214" s="101"/>
      <c r="N214" s="101"/>
      <c r="O214" s="101"/>
    </row>
    <row r="215" spans="7:15" x14ac:dyDescent="0.25">
      <c r="G215" s="101"/>
      <c r="H215" s="101"/>
      <c r="I215" s="101"/>
      <c r="M215" s="101"/>
      <c r="N215" s="101"/>
      <c r="O215" s="101"/>
    </row>
    <row r="216" spans="7:15" x14ac:dyDescent="0.25">
      <c r="G216" s="101"/>
      <c r="H216" s="101"/>
      <c r="I216" s="101"/>
      <c r="M216" s="101"/>
      <c r="N216" s="101"/>
      <c r="O216" s="101"/>
    </row>
    <row r="217" spans="7:15" x14ac:dyDescent="0.25">
      <c r="G217" s="101"/>
      <c r="H217" s="101"/>
      <c r="I217" s="101"/>
      <c r="M217" s="101"/>
      <c r="N217" s="101"/>
      <c r="O217" s="101"/>
    </row>
    <row r="218" spans="7:15" x14ac:dyDescent="0.25">
      <c r="G218" s="101"/>
      <c r="H218" s="101"/>
      <c r="I218" s="101"/>
      <c r="M218" s="101"/>
      <c r="N218" s="101"/>
      <c r="O218" s="101"/>
    </row>
    <row r="219" spans="7:15" x14ac:dyDescent="0.25">
      <c r="G219" s="101"/>
      <c r="H219" s="101"/>
      <c r="I219" s="101"/>
      <c r="M219" s="101"/>
      <c r="N219" s="101"/>
      <c r="O219" s="101"/>
    </row>
    <row r="220" spans="7:15" x14ac:dyDescent="0.25">
      <c r="G220" s="101"/>
      <c r="H220" s="101"/>
      <c r="I220" s="101"/>
      <c r="M220" s="101"/>
      <c r="N220" s="101"/>
      <c r="O220" s="101"/>
    </row>
    <row r="221" spans="7:15" x14ac:dyDescent="0.25">
      <c r="G221" s="101"/>
      <c r="H221" s="101"/>
      <c r="I221" s="101"/>
      <c r="M221" s="101"/>
      <c r="N221" s="101"/>
      <c r="O221" s="101"/>
    </row>
    <row r="227" spans="5:15" x14ac:dyDescent="0.25">
      <c r="E227" s="104"/>
      <c r="J227" s="104"/>
    </row>
    <row r="228" spans="5:15" x14ac:dyDescent="0.25">
      <c r="E228" s="104"/>
      <c r="J228" s="104"/>
    </row>
    <row r="230" spans="5:15" x14ac:dyDescent="0.25">
      <c r="G230" s="101"/>
      <c r="H230" s="101"/>
      <c r="I230" s="101"/>
      <c r="M230" s="101"/>
      <c r="N230" s="101"/>
      <c r="O230" s="101"/>
    </row>
    <row r="231" spans="5:15" x14ac:dyDescent="0.25">
      <c r="G231" s="101"/>
      <c r="H231" s="101"/>
      <c r="I231" s="101"/>
      <c r="M231" s="101"/>
      <c r="N231" s="101"/>
      <c r="O231" s="101"/>
    </row>
    <row r="232" spans="5:15" x14ac:dyDescent="0.25">
      <c r="G232" s="101"/>
      <c r="H232" s="101"/>
      <c r="I232" s="101"/>
      <c r="M232" s="101"/>
      <c r="N232" s="101"/>
      <c r="O232" s="101"/>
    </row>
    <row r="233" spans="5:15" x14ac:dyDescent="0.25">
      <c r="G233" s="101"/>
      <c r="H233" s="101"/>
      <c r="I233" s="101"/>
      <c r="M233" s="101"/>
      <c r="N233" s="101"/>
      <c r="O233" s="101"/>
    </row>
    <row r="234" spans="5:15" x14ac:dyDescent="0.25">
      <c r="G234" s="101"/>
      <c r="H234" s="101"/>
      <c r="I234" s="101"/>
      <c r="M234" s="101"/>
      <c r="N234" s="101"/>
      <c r="O234" s="101"/>
    </row>
    <row r="235" spans="5:15" x14ac:dyDescent="0.25">
      <c r="G235" s="101"/>
      <c r="H235" s="101"/>
      <c r="I235" s="101"/>
      <c r="M235" s="101"/>
      <c r="N235" s="101"/>
      <c r="O235" s="101"/>
    </row>
    <row r="236" spans="5:15" x14ac:dyDescent="0.25">
      <c r="G236" s="101"/>
      <c r="H236" s="101"/>
      <c r="I236" s="101"/>
      <c r="M236" s="101"/>
      <c r="N236" s="101"/>
      <c r="O236" s="101"/>
    </row>
    <row r="237" spans="5:15" x14ac:dyDescent="0.25">
      <c r="G237" s="101"/>
      <c r="H237" s="101"/>
      <c r="I237" s="101"/>
      <c r="M237" s="101"/>
      <c r="N237" s="101"/>
      <c r="O237" s="101"/>
    </row>
    <row r="238" spans="5:15" x14ac:dyDescent="0.25">
      <c r="G238" s="101"/>
      <c r="H238" s="101"/>
      <c r="I238" s="101"/>
      <c r="M238" s="101"/>
      <c r="N238" s="101"/>
      <c r="O238" s="101"/>
    </row>
    <row r="239" spans="5:15" x14ac:dyDescent="0.25">
      <c r="G239" s="101"/>
      <c r="H239" s="101"/>
      <c r="I239" s="101"/>
      <c r="M239" s="101"/>
      <c r="N239" s="101"/>
      <c r="O239" s="101"/>
    </row>
    <row r="240" spans="5:15" x14ac:dyDescent="0.25">
      <c r="G240" s="101"/>
      <c r="H240" s="101"/>
      <c r="I240" s="101"/>
      <c r="M240" s="101"/>
      <c r="N240" s="101"/>
      <c r="O240" s="101"/>
    </row>
    <row r="241" spans="5:15" x14ac:dyDescent="0.25">
      <c r="G241" s="101"/>
      <c r="H241" s="101"/>
      <c r="I241" s="101"/>
      <c r="M241" s="101"/>
      <c r="N241" s="101"/>
      <c r="O241" s="101"/>
    </row>
    <row r="242" spans="5:15" x14ac:dyDescent="0.25">
      <c r="G242" s="101"/>
      <c r="H242" s="101"/>
      <c r="I242" s="101"/>
      <c r="M242" s="101"/>
      <c r="N242" s="101"/>
      <c r="O242" s="101"/>
    </row>
    <row r="243" spans="5:15" x14ac:dyDescent="0.25">
      <c r="G243" s="101"/>
      <c r="H243" s="101"/>
      <c r="I243" s="101"/>
      <c r="M243" s="101"/>
      <c r="N243" s="101"/>
      <c r="O243" s="101"/>
    </row>
    <row r="248" spans="5:15" x14ac:dyDescent="0.25">
      <c r="E248" s="104"/>
    </row>
    <row r="257" spans="5:12" x14ac:dyDescent="0.25">
      <c r="E257" s="104"/>
    </row>
    <row r="261" spans="5:12" ht="15" customHeight="1" x14ac:dyDescent="0.25">
      <c r="I261" s="101"/>
      <c r="J261" s="101"/>
      <c r="K261" s="101"/>
      <c r="L261" s="101"/>
    </row>
    <row r="262" spans="5:12" x14ac:dyDescent="0.25">
      <c r="I262" s="101"/>
      <c r="J262" s="101"/>
      <c r="K262" s="101"/>
      <c r="L262" s="101"/>
    </row>
    <row r="263" spans="5:12" x14ac:dyDescent="0.25">
      <c r="I263" s="101"/>
      <c r="J263" s="101"/>
      <c r="K263" s="101"/>
      <c r="L263" s="101"/>
    </row>
    <row r="264" spans="5:12" x14ac:dyDescent="0.25">
      <c r="I264" s="101"/>
      <c r="J264" s="101"/>
      <c r="K264" s="101"/>
      <c r="L264" s="101"/>
    </row>
    <row r="265" spans="5:12" x14ac:dyDescent="0.25">
      <c r="I265" s="101"/>
      <c r="J265" s="101"/>
      <c r="K265" s="101"/>
      <c r="L265" s="101"/>
    </row>
    <row r="266" spans="5:12" x14ac:dyDescent="0.25">
      <c r="I266" s="101"/>
      <c r="J266" s="101"/>
      <c r="K266" s="101"/>
      <c r="L266" s="101"/>
    </row>
    <row r="267" spans="5:12" x14ac:dyDescent="0.25">
      <c r="I267" s="101"/>
      <c r="J267" s="101"/>
      <c r="K267" s="101"/>
      <c r="L267" s="101"/>
    </row>
  </sheetData>
  <sheetProtection algorithmName="SHA-512" hashValue="/0H3AlFfDHUhsEu607ZVrNIoOqAlWwKiq+XRGrSH6P7MlmHTFFsYQM6ByGYOw7A/v8NN9dIH/BmvADgCkfIDPw==" saltValue="064QJSJHpebsWVdsQjtycA==" spinCount="100000" sheet="1" selectLockedCells="1"/>
  <mergeCells count="33">
    <mergeCell ref="F87:K87"/>
    <mergeCell ref="E92:K92"/>
    <mergeCell ref="E31:F31"/>
    <mergeCell ref="H52:K53"/>
    <mergeCell ref="E38:F38"/>
    <mergeCell ref="E48:F48"/>
    <mergeCell ref="E44:K44"/>
    <mergeCell ref="E81:L81"/>
    <mergeCell ref="E56:L56"/>
    <mergeCell ref="E55:L55"/>
    <mergeCell ref="E82:L82"/>
    <mergeCell ref="E72:F72"/>
    <mergeCell ref="E47:L47"/>
    <mergeCell ref="E78:K78"/>
    <mergeCell ref="H66:L68"/>
    <mergeCell ref="H73:L75"/>
    <mergeCell ref="F1:I1"/>
    <mergeCell ref="J1:J2"/>
    <mergeCell ref="K1:L2"/>
    <mergeCell ref="F2:I2"/>
    <mergeCell ref="E24:F24"/>
    <mergeCell ref="E13:G13"/>
    <mergeCell ref="E20:L20"/>
    <mergeCell ref="E18:L18"/>
    <mergeCell ref="E15:G15"/>
    <mergeCell ref="E3:L3"/>
    <mergeCell ref="E16:G16"/>
    <mergeCell ref="E65:F65"/>
    <mergeCell ref="H25:L27"/>
    <mergeCell ref="H32:L34"/>
    <mergeCell ref="H39:L41"/>
    <mergeCell ref="H59:L61"/>
    <mergeCell ref="E58:F58"/>
  </mergeCells>
  <printOptions horizontalCentered="1"/>
  <pageMargins left="0.23622047244094491" right="0.23622047244094491" top="0.74803149606299213" bottom="0.74803149606299213" header="0.31496062992125984" footer="0.31496062992125984"/>
  <pageSetup paperSize="9" scale="80" fitToWidth="0" fitToHeight="2" orientation="portrait" r:id="rId1"/>
  <rowBreaks count="1" manualBreakCount="1">
    <brk id="53" min="4" max="11" man="1"/>
  </rowBreaks>
  <ignoredErrors>
    <ignoredError sqref="J1 J29 J36 J43 J63 J70 J7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'6'!$D$7:$D$31</xm:f>
          </x14:formula1>
          <xm:sqref>H73 H32 H39 H59 H66</xm:sqref>
        </x14:dataValidation>
        <x14:dataValidation type="list" allowBlank="1" showInputMessage="1" showErrorMessage="1">
          <x14:formula1>
            <xm:f>'6'!$D$7:$D$31</xm:f>
          </x14:formula1>
          <xm:sqref>H25</xm:sqref>
        </x14:dataValidation>
        <x14:dataValidation type="list" allowBlank="1" showInputMessage="1" showErrorMessage="1">
          <x14:formula1>
            <xm:f>'6'!$H$40:$H$132</xm:f>
          </x14:formula1>
          <xm:sqref>E13:G13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61"/>
  <sheetViews>
    <sheetView showGridLines="0" showRowColHeaders="0" zoomScale="106" zoomScaleNormal="106" workbookViewId="0">
      <selection activeCell="N138" sqref="N138"/>
    </sheetView>
  </sheetViews>
  <sheetFormatPr baseColWidth="10" defaultColWidth="11.42578125" defaultRowHeight="15" x14ac:dyDescent="0.25"/>
  <cols>
    <col min="1" max="4" width="11.42578125" style="165"/>
    <col min="5" max="5" width="14.5703125" style="165" customWidth="1"/>
    <col min="6" max="6" width="13.42578125" style="165" customWidth="1"/>
    <col min="7" max="7" width="11.42578125" style="165"/>
    <col min="8" max="8" width="14.5703125" style="165" customWidth="1"/>
    <col min="9" max="9" width="14.140625" style="165" customWidth="1"/>
    <col min="10" max="10" width="13" style="165" customWidth="1"/>
    <col min="11" max="11" width="19.85546875" style="165" customWidth="1"/>
    <col min="12" max="12" width="16.85546875" style="165" customWidth="1"/>
    <col min="13" max="14" width="11.42578125" style="165" customWidth="1"/>
    <col min="15" max="15" width="14.42578125" style="165" hidden="1" customWidth="1"/>
    <col min="16" max="16" width="17.140625" style="165" hidden="1" customWidth="1"/>
    <col min="17" max="33" width="11.42578125" style="165" hidden="1" customWidth="1"/>
    <col min="34" max="42" width="11.42578125" style="165" customWidth="1"/>
    <col min="43" max="16384" width="11.42578125" style="165"/>
  </cols>
  <sheetData>
    <row r="1" spans="5:16" ht="21" x14ac:dyDescent="0.25">
      <c r="E1" s="164" t="s">
        <v>325</v>
      </c>
      <c r="F1" s="350"/>
      <c r="G1" s="350"/>
      <c r="H1" s="350"/>
      <c r="I1" s="350"/>
      <c r="J1" s="351">
        <f ca="1">TODAY()</f>
        <v>45782</v>
      </c>
      <c r="K1" s="353"/>
      <c r="L1" s="354"/>
    </row>
    <row r="2" spans="5:16" ht="21.75" thickBot="1" x14ac:dyDescent="0.3">
      <c r="E2" s="166" t="s">
        <v>326</v>
      </c>
      <c r="F2" s="357"/>
      <c r="G2" s="357"/>
      <c r="H2" s="357"/>
      <c r="I2" s="357"/>
      <c r="J2" s="352"/>
      <c r="K2" s="355"/>
      <c r="L2" s="356"/>
    </row>
    <row r="3" spans="5:16" ht="20.25" customHeight="1" x14ac:dyDescent="0.25">
      <c r="E3" s="167" t="s">
        <v>445</v>
      </c>
      <c r="F3" s="167"/>
      <c r="G3" s="167"/>
      <c r="H3" s="167"/>
      <c r="I3" s="167"/>
      <c r="J3" s="167"/>
      <c r="K3" s="167"/>
      <c r="L3" s="167"/>
    </row>
    <row r="4" spans="5:16" ht="20.25" customHeight="1" thickBot="1" x14ac:dyDescent="0.3">
      <c r="E4" s="167"/>
      <c r="F4" s="167"/>
      <c r="G4" s="167"/>
      <c r="H4" s="167"/>
      <c r="I4" s="168"/>
      <c r="K4" s="167"/>
      <c r="L4" s="167"/>
    </row>
    <row r="5" spans="5:16" ht="20.25" customHeight="1" thickBot="1" x14ac:dyDescent="0.3">
      <c r="E5" s="167" t="s">
        <v>536</v>
      </c>
      <c r="F5" s="167"/>
      <c r="G5" s="167"/>
      <c r="I5" s="76">
        <v>23</v>
      </c>
    </row>
    <row r="6" spans="5:16" ht="20.25" customHeight="1" x14ac:dyDescent="0.25">
      <c r="J6" s="168"/>
      <c r="L6" s="167"/>
    </row>
    <row r="7" spans="5:16" ht="20.25" customHeight="1" thickBot="1" x14ac:dyDescent="0.3">
      <c r="E7" s="167" t="s">
        <v>446</v>
      </c>
      <c r="F7" s="167"/>
      <c r="G7" s="167"/>
      <c r="H7" s="167" t="s">
        <v>447</v>
      </c>
    </row>
    <row r="8" spans="5:16" ht="20.25" customHeight="1" thickBot="1" x14ac:dyDescent="0.3">
      <c r="E8" s="358" t="s">
        <v>500</v>
      </c>
      <c r="F8" s="359"/>
      <c r="G8" s="360"/>
      <c r="H8" s="361" t="s">
        <v>11</v>
      </c>
      <c r="I8" s="362"/>
      <c r="K8" s="363" t="s">
        <v>450</v>
      </c>
      <c r="L8" s="363"/>
    </row>
    <row r="9" spans="5:16" ht="20.25" customHeight="1" x14ac:dyDescent="0.25">
      <c r="E9" s="169"/>
      <c r="F9" s="169"/>
      <c r="G9" s="169"/>
      <c r="H9" s="169"/>
      <c r="K9" s="363" t="s">
        <v>234</v>
      </c>
      <c r="L9" s="363"/>
    </row>
    <row r="10" spans="5:16" ht="20.25" customHeight="1" x14ac:dyDescent="0.35">
      <c r="E10" s="170" t="s">
        <v>448</v>
      </c>
      <c r="F10" s="168"/>
      <c r="G10" s="167"/>
      <c r="H10" s="170" t="s">
        <v>449</v>
      </c>
      <c r="I10" s="168"/>
      <c r="K10" s="171" t="s">
        <v>450</v>
      </c>
      <c r="O10" s="172" t="s">
        <v>286</v>
      </c>
      <c r="P10" s="165" t="s">
        <v>241</v>
      </c>
    </row>
    <row r="11" spans="5:16" ht="20.25" customHeight="1" x14ac:dyDescent="0.25">
      <c r="E11" s="364">
        <f>IFERROR(IF(E8='4'!C124,VLOOKUP(H8,'4'!D3:M17,5,0),IF(E8='4'!C125,VLOOKUP(H8,'4'!D18:M30,5,0),IF(E8='4'!C126,VLOOKUP(H8,'4'!D31:M46,5,0),IF(E8='4'!C127,VLOOKUP(H8,'4'!D47:M59,5,0),IF(E8='4'!C128,VLOOKUP(H8,'4'!D60:M78,5,0),IF(E8='4'!C129,VLOOKUP(H8,'4'!D79:M92,5,0),IF(E8='4'!C130,VLOOKUP(H8,'4'!D93:Q102,5,0),""))))))),"nicht vorhanden")</f>
        <v>102.2</v>
      </c>
      <c r="F11" s="364"/>
      <c r="G11" s="167"/>
      <c r="H11" s="364">
        <f>IFERROR(IF(E8='4'!C124,VLOOKUP(H8,'4'!D3:M17,3,0),IF(E8='4'!C125,VLOOKUP(H8,'4'!D18:M30,3,0),IF(E8='4'!C126,VLOOKUP(H8,'4'!D31:M46,3,0),IF(E8='4'!C127,VLOOKUP(H8,'4'!D47:M59,3,0),IF(E8='4'!C128,VLOOKUP(H8,'4'!D60:M78,3,0),IF(E8='4'!C129,VLOOKUP(H8,'4'!D79:M92,3,0),IF(E8='4'!C130,VLOOKUP(H8,'4'!D93:Q102,3,0),""))))))),"nicht vorhanden")</f>
        <v>125</v>
      </c>
      <c r="I11" s="364"/>
      <c r="K11" s="364">
        <f>IFERROR($I$5/($O$11*3600),"-")</f>
        <v>0.77920886872063244</v>
      </c>
      <c r="L11" s="364"/>
      <c r="O11" s="172">
        <f>IFERROR(IF(E8='4'!C124,VLOOKUP(H8,'4'!D3:M17,9,0),IF(E8='4'!C125,VLOOKUP(H8,'4'!D18:M30,9,0),IF(E8='4'!C126,VLOOKUP(H8,'4'!D31:M46,9,0),IF(E8='4'!C127,VLOOKUP(H8,'4'!D47:M59,9,0),IF(E8='4'!C128,VLOOKUP(H8,'4'!D60:M78,9,0),IF(E8='4'!C129,VLOOKUP(H8,'4'!D79:M92,9,0),IF(E8='4'!C130,VLOOKUP(H8,'4'!D93:Q102,9,0),""))))))),"nicht vorhanden")</f>
        <v>8.1991994000000009E-3</v>
      </c>
      <c r="P11" s="172">
        <f>IFERROR(IF(E8='4'!C124,VLOOKUP(H8,'4'!D3:M17,6,0),IF(E8='4'!C125,VLOOKUP(H8,'4'!D18:M30,6,0),IF(E8='4'!C126,VLOOKUP(H8,'4'!D31:M46,6,0),IF(E8='4'!C127,VLOOKUP(H8,'4'!D47:M59,6,0),IF(E8='4'!C128,VLOOKUP(H8,'4'!D60:M78,6,0),IF(E8='4'!C129,VLOOKUP(H8,'4'!D79:M92,6,0),IF(E8='4'!C130,VLOOKUP(H8,'4'!D93:Q102,6,0),""))))))),"nicht vorhanden")</f>
        <v>8.1991994000000012</v>
      </c>
    </row>
    <row r="12" spans="5:16" ht="20.25" customHeight="1" x14ac:dyDescent="0.25"/>
    <row r="13" spans="5:16" ht="20.25" customHeight="1" x14ac:dyDescent="0.25">
      <c r="E13" s="170" t="s">
        <v>451</v>
      </c>
      <c r="H13" s="173"/>
      <c r="L13" s="243">
        <f>L22*(1/(E11/1000))*((K11^2)/(2*9.81))</f>
        <v>8.1756377281399107E-3</v>
      </c>
    </row>
    <row r="14" spans="5:16" ht="20.25" customHeight="1" thickBot="1" x14ac:dyDescent="0.3"/>
    <row r="15" spans="5:16" ht="20.25" hidden="1" customHeight="1" x14ac:dyDescent="0.25">
      <c r="E15" s="167"/>
      <c r="F15" s="167"/>
      <c r="G15" s="167"/>
      <c r="H15" s="167"/>
      <c r="J15" s="167"/>
      <c r="K15" s="167"/>
      <c r="L15" s="168"/>
    </row>
    <row r="16" spans="5:16" ht="20.25" hidden="1" customHeight="1" x14ac:dyDescent="0.25">
      <c r="E16" s="174" t="s">
        <v>452</v>
      </c>
      <c r="F16" s="167" t="s">
        <v>203</v>
      </c>
      <c r="G16" s="167"/>
      <c r="H16" s="167"/>
      <c r="I16" s="167"/>
      <c r="J16" s="167"/>
      <c r="K16" s="167"/>
      <c r="L16" s="167"/>
    </row>
    <row r="17" spans="5:12" ht="20.25" hidden="1" customHeight="1" x14ac:dyDescent="0.25">
      <c r="E17" s="174" t="s">
        <v>453</v>
      </c>
      <c r="F17" s="167" t="s">
        <v>204</v>
      </c>
      <c r="G17" s="167"/>
      <c r="H17" s="167"/>
      <c r="I17" s="167"/>
      <c r="J17" s="167"/>
      <c r="K17" s="168"/>
      <c r="L17" s="167"/>
    </row>
    <row r="18" spans="5:12" ht="20.25" hidden="1" customHeight="1" x14ac:dyDescent="0.25">
      <c r="E18" s="174" t="s">
        <v>454</v>
      </c>
      <c r="F18" s="167" t="s">
        <v>205</v>
      </c>
      <c r="G18" s="167"/>
      <c r="H18" s="167"/>
      <c r="I18" s="167"/>
      <c r="J18" s="167"/>
      <c r="K18" s="167"/>
      <c r="L18" s="167"/>
    </row>
    <row r="19" spans="5:12" ht="20.25" hidden="1" customHeight="1" x14ac:dyDescent="0.25">
      <c r="E19" s="174" t="s">
        <v>455</v>
      </c>
      <c r="F19" s="167" t="s">
        <v>206</v>
      </c>
      <c r="K19" s="167"/>
      <c r="L19" s="167"/>
    </row>
    <row r="20" spans="5:12" ht="20.25" hidden="1" customHeight="1" x14ac:dyDescent="0.25">
      <c r="K20" s="167"/>
      <c r="L20" s="167"/>
    </row>
    <row r="21" spans="5:12" ht="20.25" hidden="1" customHeight="1" x14ac:dyDescent="0.25">
      <c r="K21" s="167"/>
      <c r="L21" s="167"/>
    </row>
    <row r="22" spans="5:12" ht="20.25" hidden="1" customHeight="1" x14ac:dyDescent="0.25">
      <c r="E22" s="175" t="s">
        <v>207</v>
      </c>
      <c r="F22" s="167" t="s">
        <v>208</v>
      </c>
      <c r="G22" s="167"/>
      <c r="H22" s="167"/>
      <c r="I22" s="168"/>
      <c r="J22" s="168"/>
      <c r="K22" s="176" t="s">
        <v>207</v>
      </c>
      <c r="L22" s="177">
        <f>H196</f>
        <v>2.6999999999999941E-2</v>
      </c>
    </row>
    <row r="23" spans="5:12" ht="20.25" hidden="1" customHeight="1" x14ac:dyDescent="0.25">
      <c r="E23" s="175" t="s">
        <v>209</v>
      </c>
      <c r="F23" s="167" t="s">
        <v>210</v>
      </c>
      <c r="G23" s="167"/>
      <c r="H23" s="167"/>
      <c r="I23" s="167"/>
      <c r="J23" s="167"/>
      <c r="K23" s="167"/>
      <c r="L23" s="167"/>
    </row>
    <row r="24" spans="5:12" ht="20.25" hidden="1" customHeight="1" x14ac:dyDescent="0.25">
      <c r="E24" s="178" t="s">
        <v>211</v>
      </c>
      <c r="F24" s="167" t="s">
        <v>0</v>
      </c>
      <c r="G24" s="167"/>
      <c r="H24" s="167"/>
      <c r="I24" s="167"/>
      <c r="J24" s="167"/>
      <c r="K24" s="167"/>
      <c r="L24" s="167"/>
    </row>
    <row r="25" spans="5:12" ht="20.25" hidden="1" customHeight="1" x14ac:dyDescent="0.25">
      <c r="E25" s="178" t="s">
        <v>212</v>
      </c>
      <c r="F25" s="167" t="s">
        <v>213</v>
      </c>
      <c r="G25" s="167"/>
      <c r="H25" s="167"/>
      <c r="I25" s="167"/>
      <c r="J25" s="167"/>
      <c r="K25" s="167"/>
      <c r="L25" s="167"/>
    </row>
    <row r="26" spans="5:12" ht="20.25" hidden="1" customHeight="1" x14ac:dyDescent="0.25">
      <c r="E26" s="178" t="s">
        <v>214</v>
      </c>
      <c r="F26" s="167" t="s">
        <v>215</v>
      </c>
      <c r="G26" s="167"/>
      <c r="H26" s="167"/>
      <c r="I26" s="167"/>
      <c r="J26" s="167"/>
      <c r="K26" s="167"/>
      <c r="L26" s="167"/>
    </row>
    <row r="27" spans="5:12" ht="20.25" hidden="1" customHeight="1" thickBot="1" x14ac:dyDescent="0.3">
      <c r="E27" s="178" t="s">
        <v>216</v>
      </c>
      <c r="F27" s="167" t="s">
        <v>313</v>
      </c>
      <c r="G27" s="167"/>
      <c r="H27" s="167"/>
      <c r="I27" s="167"/>
      <c r="J27" s="167"/>
      <c r="K27" s="167"/>
      <c r="L27" s="167"/>
    </row>
    <row r="28" spans="5:12" ht="20.25" hidden="1" customHeight="1" thickBot="1" x14ac:dyDescent="0.3">
      <c r="E28" s="179" t="s">
        <v>456</v>
      </c>
      <c r="F28" s="167" t="s">
        <v>217</v>
      </c>
      <c r="G28" s="167"/>
      <c r="H28" s="167"/>
      <c r="I28" s="168"/>
      <c r="J28" s="168"/>
      <c r="K28" s="179" t="s">
        <v>314</v>
      </c>
      <c r="L28" s="180">
        <v>0.25</v>
      </c>
    </row>
    <row r="29" spans="5:12" ht="20.25" hidden="1" customHeight="1" thickBot="1" x14ac:dyDescent="0.3"/>
    <row r="30" spans="5:12" ht="20.25" customHeight="1" thickBot="1" x14ac:dyDescent="0.3">
      <c r="E30" s="171" t="s">
        <v>457</v>
      </c>
      <c r="F30" s="167"/>
      <c r="G30" s="167"/>
      <c r="H30" s="167"/>
      <c r="I30" s="167"/>
      <c r="J30" s="167"/>
      <c r="K30" s="168"/>
      <c r="L30" s="77">
        <v>100</v>
      </c>
    </row>
    <row r="31" spans="5:12" ht="20.25" customHeight="1" x14ac:dyDescent="0.25"/>
    <row r="32" spans="5:12" ht="20.25" customHeight="1" x14ac:dyDescent="0.25">
      <c r="E32" s="167" t="s">
        <v>458</v>
      </c>
      <c r="F32" s="167"/>
      <c r="G32" s="167"/>
      <c r="H32" s="167"/>
      <c r="I32" s="167"/>
      <c r="J32" s="167"/>
      <c r="K32" s="171" t="s">
        <v>315</v>
      </c>
      <c r="L32" s="161">
        <f>$L$30*$L$13</f>
        <v>0.81756377281399106</v>
      </c>
    </row>
    <row r="33" spans="5:19" ht="20.25" customHeight="1" x14ac:dyDescent="0.25"/>
    <row r="34" spans="5:19" ht="20.25" customHeight="1" thickBot="1" x14ac:dyDescent="0.3">
      <c r="E34" s="181" t="s">
        <v>459</v>
      </c>
      <c r="F34" s="168"/>
      <c r="G34" s="168"/>
      <c r="H34" s="168"/>
      <c r="I34" s="168"/>
      <c r="J34" s="168"/>
      <c r="K34" s="168"/>
      <c r="L34" s="168"/>
      <c r="S34" s="182"/>
    </row>
    <row r="35" spans="5:19" ht="20.25" customHeight="1" x14ac:dyDescent="0.25">
      <c r="E35" s="365" t="s">
        <v>460</v>
      </c>
      <c r="F35" s="366"/>
      <c r="G35" s="366"/>
      <c r="H35" s="366"/>
      <c r="I35" s="183" t="s">
        <v>209</v>
      </c>
      <c r="J35" s="184" t="s">
        <v>29</v>
      </c>
      <c r="K35" s="183" t="s">
        <v>218</v>
      </c>
      <c r="L35" s="185" t="s">
        <v>316</v>
      </c>
    </row>
    <row r="36" spans="5:19" ht="20.25" customHeight="1" x14ac:dyDescent="0.25">
      <c r="E36" s="367" t="s">
        <v>461</v>
      </c>
      <c r="F36" s="368"/>
      <c r="G36" s="368"/>
      <c r="H36" s="368"/>
      <c r="I36" s="186">
        <v>0.3</v>
      </c>
      <c r="J36" s="78">
        <v>4</v>
      </c>
      <c r="K36" s="244">
        <f t="shared" ref="K36:K48" si="0">I36*J36</f>
        <v>1.2</v>
      </c>
      <c r="L36" s="245">
        <f>K36*(($K$11^2)/(2*9.81))</f>
        <v>3.7135563369595587E-2</v>
      </c>
    </row>
    <row r="37" spans="5:19" ht="20.25" customHeight="1" x14ac:dyDescent="0.25">
      <c r="E37" s="367" t="s">
        <v>462</v>
      </c>
      <c r="F37" s="368"/>
      <c r="G37" s="368"/>
      <c r="H37" s="368"/>
      <c r="I37" s="186">
        <v>2.2000000000000002</v>
      </c>
      <c r="J37" s="78">
        <v>1</v>
      </c>
      <c r="K37" s="244">
        <f t="shared" si="0"/>
        <v>2.2000000000000002</v>
      </c>
      <c r="L37" s="245">
        <f t="shared" ref="L37:L48" si="1">K37*(($K$11^2)/(2*9.81))</f>
        <v>6.8081866177591918E-2</v>
      </c>
    </row>
    <row r="38" spans="5:19" ht="20.25" customHeight="1" x14ac:dyDescent="0.25">
      <c r="E38" s="372" t="s">
        <v>463</v>
      </c>
      <c r="F38" s="373"/>
      <c r="G38" s="373"/>
      <c r="H38" s="374"/>
      <c r="I38" s="186">
        <v>0.5</v>
      </c>
      <c r="J38" s="78">
        <v>5</v>
      </c>
      <c r="K38" s="244">
        <f t="shared" si="0"/>
        <v>2.5</v>
      </c>
      <c r="L38" s="245">
        <f>K38*(($K$11^2)/(2*9.81))</f>
        <v>7.7365757019990808E-2</v>
      </c>
    </row>
    <row r="39" spans="5:19" ht="20.25" customHeight="1" x14ac:dyDescent="0.25">
      <c r="E39" s="372" t="s">
        <v>464</v>
      </c>
      <c r="F39" s="373"/>
      <c r="G39" s="373"/>
      <c r="H39" s="374"/>
      <c r="I39" s="186">
        <v>0.3</v>
      </c>
      <c r="J39" s="78"/>
      <c r="K39" s="244">
        <f t="shared" si="0"/>
        <v>0</v>
      </c>
      <c r="L39" s="245">
        <f t="shared" si="1"/>
        <v>0</v>
      </c>
    </row>
    <row r="40" spans="5:19" ht="20.25" customHeight="1" x14ac:dyDescent="0.25">
      <c r="E40" s="372" t="s">
        <v>465</v>
      </c>
      <c r="F40" s="373"/>
      <c r="G40" s="373"/>
      <c r="H40" s="374"/>
      <c r="I40" s="186">
        <v>1</v>
      </c>
      <c r="J40" s="78">
        <v>1</v>
      </c>
      <c r="K40" s="244">
        <f t="shared" si="0"/>
        <v>1</v>
      </c>
      <c r="L40" s="245">
        <f t="shared" si="1"/>
        <v>3.0946302807996321E-2</v>
      </c>
    </row>
    <row r="41" spans="5:19" ht="20.25" customHeight="1" x14ac:dyDescent="0.25">
      <c r="E41" s="187" t="s">
        <v>466</v>
      </c>
      <c r="F41" s="188"/>
      <c r="G41" s="188"/>
      <c r="H41" s="188"/>
      <c r="I41" s="186">
        <v>0.3</v>
      </c>
      <c r="J41" s="78"/>
      <c r="K41" s="244">
        <f t="shared" si="0"/>
        <v>0</v>
      </c>
      <c r="L41" s="245">
        <f t="shared" si="1"/>
        <v>0</v>
      </c>
    </row>
    <row r="42" spans="5:19" ht="20.25" customHeight="1" x14ac:dyDescent="0.25">
      <c r="E42" s="187" t="s">
        <v>467</v>
      </c>
      <c r="F42" s="188"/>
      <c r="G42" s="188"/>
      <c r="H42" s="188"/>
      <c r="I42" s="186">
        <v>0.5</v>
      </c>
      <c r="J42" s="78"/>
      <c r="K42" s="244">
        <f t="shared" si="0"/>
        <v>0</v>
      </c>
      <c r="L42" s="245">
        <f t="shared" si="1"/>
        <v>0</v>
      </c>
    </row>
    <row r="43" spans="5:19" ht="20.25" customHeight="1" x14ac:dyDescent="0.25">
      <c r="E43" s="187" t="s">
        <v>468</v>
      </c>
      <c r="F43" s="188"/>
      <c r="G43" s="188"/>
      <c r="H43" s="188"/>
      <c r="I43" s="186">
        <v>0.6</v>
      </c>
      <c r="J43" s="78"/>
      <c r="K43" s="244">
        <f t="shared" si="0"/>
        <v>0</v>
      </c>
      <c r="L43" s="245">
        <f t="shared" si="1"/>
        <v>0</v>
      </c>
    </row>
    <row r="44" spans="5:19" ht="20.25" customHeight="1" x14ac:dyDescent="0.25">
      <c r="E44" s="187" t="s">
        <v>469</v>
      </c>
      <c r="F44" s="188"/>
      <c r="G44" s="188"/>
      <c r="H44" s="188"/>
      <c r="I44" s="186">
        <v>1</v>
      </c>
      <c r="J44" s="78"/>
      <c r="K44" s="244">
        <f t="shared" si="0"/>
        <v>0</v>
      </c>
      <c r="L44" s="245">
        <f t="shared" si="1"/>
        <v>0</v>
      </c>
    </row>
    <row r="45" spans="5:19" ht="20.25" customHeight="1" x14ac:dyDescent="0.25">
      <c r="E45" s="372" t="s">
        <v>470</v>
      </c>
      <c r="F45" s="373"/>
      <c r="G45" s="373"/>
      <c r="H45" s="374"/>
      <c r="I45" s="186">
        <v>1.3</v>
      </c>
      <c r="J45" s="78"/>
      <c r="K45" s="244">
        <f t="shared" si="0"/>
        <v>0</v>
      </c>
      <c r="L45" s="245">
        <f t="shared" si="1"/>
        <v>0</v>
      </c>
    </row>
    <row r="46" spans="5:19" ht="20.25" customHeight="1" x14ac:dyDescent="0.25">
      <c r="E46" s="372" t="s">
        <v>471</v>
      </c>
      <c r="F46" s="373"/>
      <c r="G46" s="373"/>
      <c r="H46" s="374"/>
      <c r="I46" s="186">
        <v>0.3</v>
      </c>
      <c r="J46" s="78"/>
      <c r="K46" s="244">
        <f t="shared" si="0"/>
        <v>0</v>
      </c>
      <c r="L46" s="245">
        <f t="shared" si="1"/>
        <v>0</v>
      </c>
    </row>
    <row r="47" spans="5:19" ht="20.25" customHeight="1" x14ac:dyDescent="0.25">
      <c r="E47" s="369" t="s">
        <v>472</v>
      </c>
      <c r="F47" s="370"/>
      <c r="G47" s="370"/>
      <c r="H47" s="371"/>
      <c r="I47" s="78"/>
      <c r="J47" s="78"/>
      <c r="K47" s="244">
        <f t="shared" si="0"/>
        <v>0</v>
      </c>
      <c r="L47" s="245">
        <f t="shared" si="1"/>
        <v>0</v>
      </c>
    </row>
    <row r="48" spans="5:19" ht="20.25" customHeight="1" x14ac:dyDescent="0.25">
      <c r="E48" s="369" t="s">
        <v>472</v>
      </c>
      <c r="F48" s="370"/>
      <c r="G48" s="370"/>
      <c r="H48" s="371"/>
      <c r="I48" s="78"/>
      <c r="J48" s="78"/>
      <c r="K48" s="244">
        <f t="shared" si="0"/>
        <v>0</v>
      </c>
      <c r="L48" s="245">
        <f t="shared" si="1"/>
        <v>0</v>
      </c>
    </row>
    <row r="49" spans="5:12" ht="20.25" customHeight="1" thickBot="1" x14ac:dyDescent="0.3">
      <c r="E49" s="189" t="s">
        <v>473</v>
      </c>
      <c r="F49" s="190"/>
      <c r="G49" s="190"/>
      <c r="H49" s="190"/>
      <c r="I49" s="190"/>
      <c r="J49" s="190"/>
      <c r="K49" s="190"/>
      <c r="L49" s="191"/>
    </row>
    <row r="50" spans="5:12" ht="20.25" customHeight="1" x14ac:dyDescent="0.25">
      <c r="E50" s="167"/>
      <c r="F50" s="167"/>
      <c r="G50" s="167"/>
      <c r="H50" s="167"/>
      <c r="I50" s="174"/>
      <c r="J50" s="192" t="s">
        <v>218</v>
      </c>
      <c r="K50" s="193">
        <f>SUM(K36:K48)</f>
        <v>6.9</v>
      </c>
      <c r="L50" s="174"/>
    </row>
    <row r="51" spans="5:12" ht="20.25" customHeight="1" x14ac:dyDescent="0.25">
      <c r="E51" s="167" t="s">
        <v>474</v>
      </c>
      <c r="F51" s="167"/>
      <c r="G51" s="167"/>
      <c r="H51" s="167"/>
      <c r="I51" s="167"/>
      <c r="J51" s="167"/>
      <c r="K51" s="194" t="s">
        <v>317</v>
      </c>
      <c r="L51" s="161">
        <f>SUM(L36:L48)</f>
        <v>0.21352948937517463</v>
      </c>
    </row>
    <row r="52" spans="5:12" ht="20.25" customHeight="1" x14ac:dyDescent="0.25">
      <c r="G52" s="167"/>
      <c r="H52" s="167"/>
      <c r="I52" s="167"/>
      <c r="J52" s="167"/>
      <c r="K52" s="167"/>
      <c r="L52" s="167"/>
    </row>
    <row r="53" spans="5:12" ht="20.25" customHeight="1" x14ac:dyDescent="0.25">
      <c r="E53" s="167" t="s">
        <v>475</v>
      </c>
      <c r="F53" s="167"/>
      <c r="G53" s="167"/>
      <c r="H53" s="167"/>
      <c r="J53" s="167"/>
      <c r="K53" s="195" t="s">
        <v>318</v>
      </c>
      <c r="L53" s="246">
        <f>L32+L51</f>
        <v>1.0310932621891657</v>
      </c>
    </row>
    <row r="54" spans="5:12" ht="20.25" customHeight="1" x14ac:dyDescent="0.25">
      <c r="E54" s="167"/>
      <c r="F54" s="167"/>
      <c r="G54" s="167"/>
      <c r="H54" s="167"/>
      <c r="I54" s="167"/>
      <c r="J54" s="167"/>
      <c r="K54" s="167"/>
      <c r="L54" s="195"/>
    </row>
    <row r="55" spans="5:12" ht="20.25" customHeight="1" x14ac:dyDescent="0.25">
      <c r="G55" s="168"/>
      <c r="H55" s="168"/>
      <c r="I55" s="168"/>
      <c r="J55" s="168"/>
    </row>
    <row r="56" spans="5:12" ht="20.25" customHeight="1" thickBot="1" x14ac:dyDescent="0.3">
      <c r="G56" s="168"/>
      <c r="H56" s="168"/>
      <c r="I56" s="168"/>
      <c r="J56" s="168"/>
    </row>
    <row r="57" spans="5:12" ht="20.25" customHeight="1" thickBot="1" x14ac:dyDescent="0.3">
      <c r="G57" s="168"/>
      <c r="H57" s="168"/>
      <c r="I57" s="168"/>
      <c r="J57" s="170" t="s">
        <v>476</v>
      </c>
      <c r="K57" s="195" t="s">
        <v>319</v>
      </c>
      <c r="L57" s="77">
        <v>6</v>
      </c>
    </row>
    <row r="58" spans="5:12" ht="20.25" customHeight="1" x14ac:dyDescent="0.25">
      <c r="G58" s="168"/>
      <c r="H58" s="168"/>
      <c r="I58" s="168"/>
      <c r="J58" s="170" t="s">
        <v>477</v>
      </c>
    </row>
    <row r="59" spans="5:12" ht="20.25" customHeight="1" x14ac:dyDescent="0.25">
      <c r="G59" s="168"/>
      <c r="H59" s="168"/>
      <c r="I59" s="168"/>
      <c r="J59" s="168"/>
    </row>
    <row r="60" spans="5:12" ht="20.25" customHeight="1" x14ac:dyDescent="0.25">
      <c r="G60" s="168"/>
      <c r="H60" s="168"/>
      <c r="I60" s="168"/>
      <c r="J60" s="168"/>
    </row>
    <row r="61" spans="5:12" ht="20.25" customHeight="1" x14ac:dyDescent="0.25">
      <c r="G61" s="168"/>
      <c r="I61" s="168"/>
    </row>
    <row r="62" spans="5:12" ht="20.25" customHeight="1" x14ac:dyDescent="0.25">
      <c r="G62" s="168"/>
      <c r="H62" s="168"/>
      <c r="I62" s="168"/>
      <c r="J62" s="168"/>
    </row>
    <row r="63" spans="5:12" ht="20.25" customHeight="1" x14ac:dyDescent="0.25">
      <c r="G63" s="168"/>
      <c r="H63" s="168"/>
      <c r="I63" s="168"/>
      <c r="J63" s="168"/>
    </row>
    <row r="64" spans="5:12" ht="20.25" customHeight="1" x14ac:dyDescent="0.25">
      <c r="G64" s="168"/>
      <c r="H64" s="168"/>
      <c r="I64" s="168"/>
      <c r="J64" s="168"/>
    </row>
    <row r="65" spans="5:13" ht="20.25" customHeight="1" x14ac:dyDescent="0.25">
      <c r="G65" s="168"/>
      <c r="H65" s="168"/>
      <c r="I65" s="168"/>
      <c r="J65" s="168"/>
    </row>
    <row r="66" spans="5:13" ht="20.25" customHeight="1" x14ac:dyDescent="0.25">
      <c r="G66" s="168"/>
      <c r="H66" s="168"/>
      <c r="I66" s="168"/>
      <c r="J66" s="168"/>
    </row>
    <row r="67" spans="5:13" ht="20.25" customHeight="1" x14ac:dyDescent="0.25">
      <c r="G67" s="168"/>
      <c r="H67" s="168"/>
      <c r="I67" s="168"/>
      <c r="J67" s="168"/>
    </row>
    <row r="68" spans="5:13" ht="20.25" customHeight="1" thickBot="1" x14ac:dyDescent="0.3">
      <c r="G68" s="168"/>
      <c r="H68" s="168"/>
      <c r="I68" s="168"/>
      <c r="J68" s="168"/>
    </row>
    <row r="69" spans="5:13" ht="20.25" customHeight="1" thickBot="1" x14ac:dyDescent="0.4">
      <c r="E69" s="170" t="s">
        <v>478</v>
      </c>
      <c r="K69" s="170" t="s">
        <v>320</v>
      </c>
      <c r="L69" s="247">
        <f>L57+L53</f>
        <v>7.0310932621891657</v>
      </c>
    </row>
    <row r="70" spans="5:13" ht="20.25" hidden="1" customHeight="1" x14ac:dyDescent="0.25">
      <c r="G70" s="168"/>
      <c r="H70" s="168"/>
      <c r="I70" s="168"/>
      <c r="J70" s="168"/>
    </row>
    <row r="71" spans="5:13" ht="20.25" hidden="1" customHeight="1" x14ac:dyDescent="0.25">
      <c r="E71" s="167"/>
      <c r="F71" s="167"/>
      <c r="G71" s="167"/>
      <c r="H71" s="167"/>
      <c r="I71" s="167"/>
      <c r="J71" s="167"/>
      <c r="K71" s="167"/>
      <c r="L71" s="167"/>
    </row>
    <row r="72" spans="5:13" ht="20.25" customHeight="1" x14ac:dyDescent="0.25">
      <c r="F72" s="167"/>
      <c r="G72" s="167"/>
      <c r="H72" s="167"/>
      <c r="I72" s="167"/>
      <c r="J72" s="167"/>
      <c r="K72" s="167"/>
      <c r="L72" s="167"/>
    </row>
    <row r="73" spans="5:13" ht="20.25" customHeight="1" x14ac:dyDescent="0.25">
      <c r="E73" s="167" t="s">
        <v>479</v>
      </c>
      <c r="F73" s="167"/>
      <c r="G73" s="167"/>
      <c r="H73" s="167"/>
      <c r="I73" s="167"/>
      <c r="J73" s="167"/>
      <c r="K73" s="167"/>
      <c r="L73" s="167"/>
    </row>
    <row r="74" spans="5:13" ht="20.25" customHeight="1" thickBot="1" x14ac:dyDescent="0.3">
      <c r="E74" s="167"/>
      <c r="F74" s="167"/>
      <c r="G74" s="167"/>
      <c r="H74" s="167"/>
      <c r="I74" s="167"/>
      <c r="J74" s="167"/>
      <c r="K74" s="167"/>
      <c r="L74" s="167"/>
    </row>
    <row r="75" spans="5:13" ht="20.25" customHeight="1" thickBot="1" x14ac:dyDescent="0.3">
      <c r="E75" s="167" t="s">
        <v>480</v>
      </c>
      <c r="F75" s="167"/>
      <c r="G75" s="167"/>
      <c r="H75" s="167"/>
      <c r="I75" s="167"/>
      <c r="J75" s="167"/>
      <c r="K75" s="167"/>
      <c r="L75" s="79">
        <v>2</v>
      </c>
    </row>
    <row r="76" spans="5:13" ht="20.25" customHeight="1" thickBot="1" x14ac:dyDescent="0.3">
      <c r="E76" s="167" t="s">
        <v>481</v>
      </c>
      <c r="F76" s="167"/>
      <c r="G76" s="167"/>
      <c r="H76" s="167"/>
      <c r="I76" s="167"/>
      <c r="J76" s="167"/>
      <c r="K76" s="167"/>
      <c r="L76" s="79" t="s">
        <v>261</v>
      </c>
      <c r="M76" s="196"/>
    </row>
    <row r="77" spans="5:13" ht="20.25" customHeight="1" thickBot="1" x14ac:dyDescent="0.3">
      <c r="E77" s="167" t="s">
        <v>482</v>
      </c>
      <c r="F77" s="167"/>
      <c r="G77" s="167"/>
      <c r="I77" s="167" t="str">
        <f>IF(AND(L75=1,L77="x"),"Bitte x bei Einzelpumpenbetrieb auswählen","")</f>
        <v/>
      </c>
      <c r="J77" s="167"/>
      <c r="K77" s="167"/>
      <c r="L77" s="79" t="s">
        <v>239</v>
      </c>
      <c r="M77" s="196"/>
    </row>
    <row r="78" spans="5:13" ht="20.25" customHeight="1" x14ac:dyDescent="0.25">
      <c r="E78" s="167"/>
      <c r="F78" s="167"/>
      <c r="G78" s="167"/>
      <c r="H78" s="167"/>
      <c r="I78" s="167" t="str">
        <f>IF(AND(L76="x",L77="x"),"Bitte nur eine Betriebsart wählen","")</f>
        <v/>
      </c>
      <c r="J78" s="167"/>
      <c r="K78" s="167"/>
      <c r="L78" s="167"/>
    </row>
    <row r="79" spans="5:13" ht="20.25" hidden="1" customHeight="1" x14ac:dyDescent="0.25">
      <c r="E79" s="167" t="s">
        <v>265</v>
      </c>
      <c r="F79" s="167"/>
      <c r="G79" s="167"/>
      <c r="H79" s="167"/>
      <c r="I79" s="167"/>
      <c r="J79" s="347" t="str">
        <f>E8</f>
        <v>Plastic PE-HD DIN 8077 PN10</v>
      </c>
      <c r="K79" s="347"/>
      <c r="L79" s="197" t="str">
        <f>H8</f>
        <v>DN100</v>
      </c>
    </row>
    <row r="80" spans="5:13" ht="20.25" hidden="1" customHeight="1" x14ac:dyDescent="0.35">
      <c r="F80" s="196"/>
      <c r="G80" s="196"/>
      <c r="I80" s="196"/>
      <c r="J80" s="348" t="s">
        <v>312</v>
      </c>
      <c r="K80" s="348"/>
      <c r="L80" s="198">
        <f>H11</f>
        <v>125</v>
      </c>
    </row>
    <row r="81" spans="5:12" ht="20.25" hidden="1" customHeight="1" x14ac:dyDescent="0.25">
      <c r="F81" s="196"/>
      <c r="G81" s="196"/>
      <c r="I81" s="196"/>
      <c r="J81" s="170"/>
      <c r="L81" s="199"/>
    </row>
    <row r="82" spans="5:12" ht="20.25" customHeight="1" x14ac:dyDescent="0.25">
      <c r="E82" s="167" t="s">
        <v>483</v>
      </c>
      <c r="F82" s="196"/>
      <c r="G82" s="196"/>
      <c r="I82" s="196"/>
      <c r="J82" s="170"/>
      <c r="L82" s="199"/>
    </row>
    <row r="83" spans="5:12" ht="20.25" customHeight="1" thickBot="1" x14ac:dyDescent="0.3">
      <c r="F83" s="196"/>
      <c r="G83" s="196"/>
      <c r="I83" s="196"/>
      <c r="J83" s="170"/>
      <c r="L83" s="199"/>
    </row>
    <row r="84" spans="5:12" ht="20.25" customHeight="1" thickBot="1" x14ac:dyDescent="0.3">
      <c r="E84" s="167"/>
      <c r="F84" s="196"/>
      <c r="G84" s="196"/>
      <c r="H84" s="170" t="s">
        <v>484</v>
      </c>
      <c r="L84" s="79">
        <v>300</v>
      </c>
    </row>
    <row r="85" spans="5:12" ht="20.25" customHeight="1" thickBot="1" x14ac:dyDescent="0.3">
      <c r="E85" s="167"/>
      <c r="F85" s="196"/>
      <c r="G85" s="196"/>
      <c r="I85" s="196"/>
      <c r="J85" s="170"/>
      <c r="L85" s="199"/>
    </row>
    <row r="86" spans="5:12" ht="20.25" customHeight="1" thickBot="1" x14ac:dyDescent="0.3">
      <c r="E86" s="167"/>
      <c r="F86" s="196"/>
      <c r="G86" s="196"/>
      <c r="H86" s="170" t="s">
        <v>485</v>
      </c>
      <c r="L86" s="79">
        <v>500</v>
      </c>
    </row>
    <row r="87" spans="5:12" ht="20.25" customHeight="1" thickBot="1" x14ac:dyDescent="0.3">
      <c r="E87" s="167"/>
      <c r="F87" s="196"/>
      <c r="G87" s="196"/>
      <c r="I87" s="196"/>
      <c r="J87" s="170"/>
      <c r="L87" s="199"/>
    </row>
    <row r="88" spans="5:12" ht="20.25" customHeight="1" thickBot="1" x14ac:dyDescent="0.3">
      <c r="E88" s="167"/>
      <c r="F88" s="196"/>
      <c r="G88" s="196"/>
      <c r="H88" s="170" t="s">
        <v>486</v>
      </c>
      <c r="L88" s="80" t="s">
        <v>10</v>
      </c>
    </row>
    <row r="89" spans="5:12" ht="20.25" customHeight="1" thickBot="1" x14ac:dyDescent="0.3">
      <c r="E89" s="167"/>
      <c r="F89" s="196"/>
      <c r="G89" s="196"/>
      <c r="I89" s="196"/>
      <c r="J89" s="170"/>
      <c r="L89" s="199"/>
    </row>
    <row r="90" spans="5:12" ht="20.25" customHeight="1" thickBot="1" x14ac:dyDescent="0.3">
      <c r="E90" s="167"/>
      <c r="F90" s="196"/>
      <c r="G90" s="196"/>
      <c r="H90" s="170" t="s">
        <v>487</v>
      </c>
      <c r="J90" s="196"/>
      <c r="K90" s="196"/>
      <c r="L90" s="76">
        <v>30</v>
      </c>
    </row>
    <row r="91" spans="5:12" ht="20.25" customHeight="1" x14ac:dyDescent="0.25">
      <c r="E91" s="167"/>
      <c r="F91" s="196"/>
      <c r="G91" s="196"/>
      <c r="I91" s="196"/>
      <c r="J91" s="170"/>
      <c r="L91" s="199"/>
    </row>
    <row r="92" spans="5:12" ht="20.25" customHeight="1" thickBot="1" x14ac:dyDescent="0.4">
      <c r="E92" s="167"/>
      <c r="F92" s="196"/>
      <c r="H92" s="170" t="s">
        <v>488</v>
      </c>
      <c r="I92" s="196"/>
      <c r="J92" s="196"/>
      <c r="K92" s="196"/>
    </row>
    <row r="93" spans="5:12" ht="20.25" customHeight="1" thickBot="1" x14ac:dyDescent="0.3">
      <c r="E93" s="167"/>
      <c r="F93" s="196"/>
      <c r="H93" s="170" t="s">
        <v>489</v>
      </c>
      <c r="I93" s="196"/>
      <c r="J93" s="170"/>
      <c r="L93" s="76">
        <v>40</v>
      </c>
    </row>
    <row r="94" spans="5:12" ht="20.25" customHeight="1" x14ac:dyDescent="0.25">
      <c r="E94" s="167"/>
      <c r="F94" s="196"/>
      <c r="G94" s="196"/>
      <c r="I94" s="196"/>
      <c r="J94" s="170"/>
      <c r="L94" s="199"/>
    </row>
    <row r="95" spans="5:12" ht="20.25" customHeight="1" x14ac:dyDescent="0.25">
      <c r="E95" s="167"/>
      <c r="F95" s="196"/>
      <c r="G95" s="196"/>
      <c r="I95" s="196"/>
      <c r="J95" s="170"/>
      <c r="L95" s="199"/>
    </row>
    <row r="96" spans="5:12" ht="20.25" customHeight="1" x14ac:dyDescent="0.25">
      <c r="E96" s="167"/>
      <c r="F96" s="196"/>
      <c r="G96" s="196"/>
      <c r="I96" s="196"/>
      <c r="J96" s="170"/>
      <c r="L96" s="199"/>
    </row>
    <row r="97" spans="5:23" ht="20.25" customHeight="1" x14ac:dyDescent="0.25">
      <c r="E97" s="167"/>
      <c r="F97" s="196"/>
      <c r="G97" s="196"/>
      <c r="I97" s="196"/>
    </row>
    <row r="98" spans="5:23" ht="20.25" customHeight="1" x14ac:dyDescent="0.25">
      <c r="E98" s="167"/>
      <c r="F98" s="196"/>
      <c r="G98" s="196"/>
      <c r="I98" s="196"/>
      <c r="J98" s="170"/>
      <c r="L98" s="199"/>
    </row>
    <row r="99" spans="5:23" ht="20.25" customHeight="1" x14ac:dyDescent="0.25">
      <c r="E99" s="167"/>
      <c r="F99" s="196"/>
      <c r="G99" s="196"/>
      <c r="I99" s="196"/>
      <c r="J99" s="170"/>
      <c r="L99" s="199"/>
    </row>
    <row r="100" spans="5:23" ht="20.25" customHeight="1" x14ac:dyDescent="0.25">
      <c r="E100" s="167"/>
      <c r="F100" s="196"/>
      <c r="G100" s="196"/>
      <c r="I100" s="196"/>
      <c r="J100" s="170"/>
      <c r="L100" s="199"/>
    </row>
    <row r="101" spans="5:23" ht="20.25" customHeight="1" x14ac:dyDescent="0.25">
      <c r="E101" s="167"/>
      <c r="F101" s="196"/>
      <c r="G101" s="196"/>
      <c r="O101" s="165" t="s">
        <v>272</v>
      </c>
      <c r="R101" s="165" t="s">
        <v>278</v>
      </c>
      <c r="V101" s="165" t="s">
        <v>277</v>
      </c>
    </row>
    <row r="102" spans="5:23" ht="20.25" customHeight="1" x14ac:dyDescent="0.25">
      <c r="E102" s="167"/>
      <c r="F102" s="196"/>
      <c r="G102" s="196"/>
      <c r="I102" s="170" t="s">
        <v>543</v>
      </c>
      <c r="L102" s="159">
        <f>IF(R107&lt;800,800,IF(R107&lt;1000,1000,IF(R107&lt;1200,1200,IF(R107&lt;1500,1500,IF(R107&lt;2000,2000,IF(R107&lt;2500,2500,""))))))</f>
        <v>1500</v>
      </c>
      <c r="O102" s="200" t="s">
        <v>269</v>
      </c>
      <c r="R102" s="200" t="s">
        <v>281</v>
      </c>
      <c r="W102" s="196"/>
    </row>
    <row r="103" spans="5:23" ht="20.25" customHeight="1" thickBot="1" x14ac:dyDescent="0.3">
      <c r="E103" s="167"/>
      <c r="F103" s="196"/>
      <c r="G103" s="196"/>
      <c r="I103" s="196"/>
      <c r="J103" s="170"/>
      <c r="L103" s="199"/>
      <c r="O103" s="200">
        <f>IF('3'!L88='8'!C18,'8'!D18,IF('3'!L88='8'!C19,'8'!D19,IF(L88='8'!C20,'8'!D20,IF('3'!L88='8'!C21,'8'!D21,IF('3'!L88='8'!C22,'8'!D22,IF('3'!L88='8'!C23,'8'!D23,""))))))</f>
        <v>80</v>
      </c>
      <c r="R103" s="201">
        <f>IF($L$75=2,(2*H11)+(6*E11)+(L84)+(O103),0)</f>
        <v>1243.2</v>
      </c>
      <c r="W103" s="196"/>
    </row>
    <row r="104" spans="5:23" ht="20.25" customHeight="1" thickBot="1" x14ac:dyDescent="0.3">
      <c r="E104" s="167"/>
      <c r="F104" s="196"/>
      <c r="G104" s="196"/>
      <c r="I104" s="170" t="s">
        <v>544</v>
      </c>
      <c r="L104" s="76">
        <f>IF($L$75=1,"-----",0)</f>
        <v>0</v>
      </c>
      <c r="O104" s="165" t="s">
        <v>270</v>
      </c>
      <c r="R104" s="165" t="s">
        <v>276</v>
      </c>
      <c r="W104" s="196"/>
    </row>
    <row r="105" spans="5:23" ht="20.25" customHeight="1" thickBot="1" x14ac:dyDescent="0.3">
      <c r="E105" s="167"/>
      <c r="F105" s="196"/>
      <c r="G105" s="196"/>
      <c r="I105" s="196"/>
      <c r="J105" s="170"/>
      <c r="L105" s="199"/>
      <c r="O105" s="201">
        <f>L75*(L84+O103)</f>
        <v>760</v>
      </c>
      <c r="R105" s="202">
        <f>R103</f>
        <v>1243.2</v>
      </c>
      <c r="V105" s="165" t="s">
        <v>275</v>
      </c>
    </row>
    <row r="106" spans="5:23" ht="20.25" customHeight="1" thickBot="1" x14ac:dyDescent="0.3">
      <c r="E106" s="167"/>
      <c r="F106" s="196"/>
      <c r="G106" s="196"/>
      <c r="I106" s="170" t="s">
        <v>545</v>
      </c>
      <c r="J106" s="170"/>
      <c r="L106" s="76">
        <f>IF($L$75=1,"-----",0)</f>
        <v>0</v>
      </c>
      <c r="O106" s="165" t="s">
        <v>279</v>
      </c>
      <c r="P106" s="375">
        <f>IF(O105&lt;R105,R105,O105)</f>
        <v>1243.2</v>
      </c>
      <c r="Q106" s="375"/>
      <c r="S106" s="201"/>
      <c r="V106" s="201">
        <f>IF($L$75=2,2*(L104/2)+L106+(L84/2)+(O103),0)</f>
        <v>230</v>
      </c>
    </row>
    <row r="107" spans="5:23" ht="20.25" customHeight="1" x14ac:dyDescent="0.25">
      <c r="E107" s="167"/>
      <c r="F107" s="196"/>
      <c r="G107" s="196"/>
      <c r="I107" s="196"/>
      <c r="J107" s="170"/>
      <c r="L107" s="199"/>
      <c r="Q107" s="165" t="s">
        <v>280</v>
      </c>
      <c r="R107" s="375">
        <f>IF(P106&lt;V106,V106,P106)</f>
        <v>1243.2</v>
      </c>
      <c r="S107" s="375"/>
    </row>
    <row r="108" spans="5:23" ht="20.25" customHeight="1" x14ac:dyDescent="0.25">
      <c r="E108" s="167"/>
      <c r="F108" s="196"/>
      <c r="G108" s="196"/>
      <c r="I108" s="196"/>
      <c r="J108" s="170"/>
      <c r="L108" s="199"/>
    </row>
    <row r="109" spans="5:23" ht="20.25" customHeight="1" x14ac:dyDescent="0.25">
      <c r="E109" s="167"/>
      <c r="F109" s="196"/>
      <c r="G109" s="196"/>
      <c r="I109" s="196"/>
      <c r="J109" s="170"/>
      <c r="L109" s="199"/>
    </row>
    <row r="110" spans="5:23" ht="20.25" customHeight="1" thickBot="1" x14ac:dyDescent="0.3">
      <c r="E110" s="167"/>
      <c r="F110" s="196"/>
      <c r="G110" s="196"/>
      <c r="I110" s="196"/>
      <c r="J110" s="170"/>
      <c r="L110" s="199"/>
    </row>
    <row r="111" spans="5:23" ht="20.25" customHeight="1" thickBot="1" x14ac:dyDescent="0.3">
      <c r="E111" s="167"/>
      <c r="F111" s="196"/>
      <c r="G111" s="196"/>
      <c r="I111" s="203" t="s">
        <v>546</v>
      </c>
      <c r="J111" s="170"/>
      <c r="L111" s="79">
        <v>1500</v>
      </c>
    </row>
    <row r="112" spans="5:23" ht="20.25" customHeight="1" x14ac:dyDescent="0.25">
      <c r="E112" s="167"/>
      <c r="F112" s="196"/>
      <c r="G112" s="196"/>
      <c r="I112" s="196"/>
      <c r="J112" s="170"/>
      <c r="K112" s="170" t="str">
        <f>IF(L102&gt;L111,"Bitte Mindestschatdurchmesser wählen!","")</f>
        <v/>
      </c>
      <c r="L112" s="199"/>
    </row>
    <row r="113" spans="5:28" ht="20.25" customHeight="1" x14ac:dyDescent="0.25">
      <c r="E113" s="167"/>
      <c r="F113" s="196"/>
      <c r="G113" s="196"/>
      <c r="I113" s="196"/>
      <c r="J113" s="170"/>
      <c r="L113" s="199"/>
    </row>
    <row r="114" spans="5:28" ht="20.25" customHeight="1" x14ac:dyDescent="0.25">
      <c r="E114" s="167"/>
      <c r="F114" s="167"/>
      <c r="G114" s="167"/>
      <c r="H114" s="167"/>
      <c r="J114" s="167"/>
    </row>
    <row r="115" spans="5:28" s="196" customFormat="1" ht="20.25" customHeight="1" x14ac:dyDescent="0.25"/>
    <row r="116" spans="5:28" s="196" customFormat="1" ht="20.25" customHeight="1" x14ac:dyDescent="0.25">
      <c r="E116" s="203" t="s">
        <v>490</v>
      </c>
      <c r="L116" s="159">
        <f>(L30*P11)</f>
        <v>819.91994000000011</v>
      </c>
    </row>
    <row r="117" spans="5:28" s="196" customFormat="1" ht="20.25" customHeight="1" x14ac:dyDescent="0.25"/>
    <row r="118" spans="5:28" s="196" customFormat="1" ht="20.25" customHeight="1" x14ac:dyDescent="0.25">
      <c r="E118" s="167" t="s">
        <v>491</v>
      </c>
      <c r="L118" s="159">
        <f>IF(AND(L75=2,L77="x"),"",(($L$93)/(4*1*$L$90))*1000)</f>
        <v>333.33333333333331</v>
      </c>
    </row>
    <row r="119" spans="5:28" s="196" customFormat="1" ht="20.25" customHeight="1" x14ac:dyDescent="0.25"/>
    <row r="120" spans="5:28" s="196" customFormat="1" ht="20.25" customHeight="1" x14ac:dyDescent="0.25">
      <c r="E120" s="167" t="s">
        <v>492</v>
      </c>
      <c r="L120" s="159" t="str">
        <f>IF(L75=1,"",IF(AND(L75=2,L76="x"),"",(($L$93)/(4*$L$75*$L$90))*1000))</f>
        <v/>
      </c>
    </row>
    <row r="121" spans="5:28" s="196" customFormat="1" ht="20.25" customHeight="1" x14ac:dyDescent="0.25"/>
    <row r="122" spans="5:28" s="196" customFormat="1" ht="20.25" customHeight="1" x14ac:dyDescent="0.25">
      <c r="E122" s="203" t="s">
        <v>493</v>
      </c>
    </row>
    <row r="123" spans="5:28" s="196" customFormat="1" ht="20.25" customHeight="1" thickBot="1" x14ac:dyDescent="0.3">
      <c r="E123" s="203"/>
    </row>
    <row r="124" spans="5:28" s="196" customFormat="1" ht="20.25" customHeight="1" thickBot="1" x14ac:dyDescent="0.3">
      <c r="E124" s="170" t="s">
        <v>494</v>
      </c>
      <c r="F124" s="204"/>
      <c r="G124" s="204"/>
      <c r="H124" s="358" t="s">
        <v>499</v>
      </c>
      <c r="I124" s="359"/>
      <c r="J124" s="360"/>
      <c r="K124" s="361" t="s">
        <v>13</v>
      </c>
      <c r="L124" s="362"/>
      <c r="R124" s="196" t="s">
        <v>282</v>
      </c>
      <c r="T124" s="205">
        <f>(($L$116/1000)*4)/(3.14159*((IF($L$102&lt;$L$111,$L$111,$L$102))/1000)^2)</f>
        <v>0.463980165740561</v>
      </c>
      <c r="U124" s="196" t="s">
        <v>271</v>
      </c>
    </row>
    <row r="125" spans="5:28" s="196" customFormat="1" ht="20.25" customHeight="1" x14ac:dyDescent="0.35">
      <c r="H125" s="349" t="s">
        <v>449</v>
      </c>
      <c r="I125" s="349"/>
      <c r="J125" s="349"/>
      <c r="K125" s="364">
        <f>IFERROR(IF(H124='4'!C124,VLOOKUP(K124,'4'!D3:M17,3,0),IF(H124='4'!C125,VLOOKUP(K124,'4'!D18:M30,3,0),IF(H124='4'!C126,VLOOKUP(K124,'4'!D31:M46,3,0),IF(H124='4'!C127,VLOOKUP(K124,'4'!D47:M59,3,0),IF(H124='4'!C128,VLOOKUP(K124,'4'!D60:M78,3,0),IF(H124='4'!C129,VLOOKUP(K124,'4'!D79:M92,3,0),IF(H124='4'!C130,VLOOKUP(K124,'4'!D93:Q102,3,0),""))))))),"nicht vorhanden")</f>
        <v>200</v>
      </c>
      <c r="L125" s="364"/>
      <c r="V125" s="206">
        <f>IF($T$124&gt;T126,T124,T126)</f>
        <v>0.463980165740561</v>
      </c>
      <c r="W125" s="196" t="s">
        <v>271</v>
      </c>
      <c r="X125" s="196" t="s">
        <v>274</v>
      </c>
      <c r="AB125" s="196" t="s">
        <v>287</v>
      </c>
    </row>
    <row r="126" spans="5:28" s="196" customFormat="1" ht="20.25" customHeight="1" thickBot="1" x14ac:dyDescent="0.3">
      <c r="P126" s="196" t="s">
        <v>283</v>
      </c>
      <c r="R126" s="205">
        <f>(($L$118/1000)*4)/(3.14159*((IF($L$102&lt;$L$111,$L$111,$L$102))/1000)^2)</f>
        <v>0.18862824002896386</v>
      </c>
      <c r="S126" s="196" t="s">
        <v>271</v>
      </c>
      <c r="T126" s="207">
        <f>IF($L$76="x",IF(T124&lt;R126,R126,T124),"")</f>
        <v>0.463980165740561</v>
      </c>
      <c r="U126" s="196" t="s">
        <v>271</v>
      </c>
    </row>
    <row r="127" spans="5:28" s="196" customFormat="1" ht="20.25" customHeight="1" thickBot="1" x14ac:dyDescent="0.3">
      <c r="J127" s="208" t="s">
        <v>244</v>
      </c>
      <c r="K127" s="165"/>
      <c r="L127" s="80">
        <v>0</v>
      </c>
      <c r="V127" s="206" t="str">
        <f>IF($T$124&gt;T128,T128,T128)</f>
        <v/>
      </c>
      <c r="W127" s="196" t="s">
        <v>271</v>
      </c>
      <c r="X127" s="196" t="s">
        <v>273</v>
      </c>
      <c r="AB127" s="196" t="s">
        <v>285</v>
      </c>
    </row>
    <row r="128" spans="5:28" s="196" customFormat="1" ht="20.25" customHeight="1" thickBot="1" x14ac:dyDescent="0.3">
      <c r="P128" s="196" t="s">
        <v>284</v>
      </c>
      <c r="R128" s="205" t="e">
        <f>(($L$120/1000)*4)/(3.14159*((IF($L$102&lt;$L$111,$L$111,$L$102))/1000)^2)</f>
        <v>#VALUE!</v>
      </c>
      <c r="S128" s="196" t="s">
        <v>271</v>
      </c>
      <c r="T128" s="207" t="str">
        <f>IF($L$77="x",IF(T124&lt;R128,R128,T124),"")</f>
        <v/>
      </c>
      <c r="U128" s="196" t="s">
        <v>271</v>
      </c>
    </row>
    <row r="129" spans="4:19" s="196" customFormat="1" ht="20.25" customHeight="1" thickBot="1" x14ac:dyDescent="0.3">
      <c r="J129" s="167" t="s">
        <v>495</v>
      </c>
      <c r="K129" s="165"/>
      <c r="L129" s="76">
        <v>0.8</v>
      </c>
    </row>
    <row r="130" spans="4:19" s="196" customFormat="1" ht="20.25" customHeight="1" x14ac:dyDescent="0.25">
      <c r="J130" s="208" t="s">
        <v>244</v>
      </c>
      <c r="K130" s="165"/>
      <c r="L130" s="161">
        <f>L127-L129</f>
        <v>-0.8</v>
      </c>
    </row>
    <row r="131" spans="4:19" s="196" customFormat="1" ht="20.25" customHeight="1" thickBot="1" x14ac:dyDescent="0.3">
      <c r="S131" s="206">
        <f>IF(AND(V125="",V127=""),"Eingaben prüfen",IF(V125="",V127,IF(V127="",V125,"Eingaben prüfen")))</f>
        <v>0.463980165740561</v>
      </c>
    </row>
    <row r="132" spans="4:19" s="196" customFormat="1" ht="20.25" customHeight="1" thickBot="1" x14ac:dyDescent="0.3">
      <c r="J132" s="167" t="s">
        <v>550</v>
      </c>
      <c r="K132" s="165"/>
      <c r="L132" s="76"/>
    </row>
    <row r="133" spans="4:19" s="196" customFormat="1" ht="20.25" customHeight="1" x14ac:dyDescent="0.25">
      <c r="J133" s="167" t="s">
        <v>550</v>
      </c>
      <c r="K133" s="165"/>
      <c r="L133" s="161">
        <f>IF(L132="",IFERROR((IF(E8='4'!C124,VLOOKUP(H8,'4'!D3:Q17,14,0),IF(E8='4'!C125,VLOOKUP(H8,'4'!D18:Q30,14,0),IF(E8='4'!C126,VLOOKUP(H8,'4'!D31:Q46,14,0),IF(E8='4'!C127,VLOOKUP(H8,'4'!D47:Q59,14,0),IF(E8='4'!C128,VLOOKUP(H8,'4'!D60:Q78,14,0),IF(E8='4'!C129,VLOOKUP(H8,'4'!D79:Q92,14,0),IF(E8='4'!C130,VLOOKUP(H8,'4'!D93:Q102,14,0),"")))))))/1000),"nicht vorhanden"),L132)</f>
        <v>0.91579999999999995</v>
      </c>
    </row>
    <row r="134" spans="4:19" ht="20.25" customHeight="1" x14ac:dyDescent="0.25">
      <c r="E134" s="167"/>
      <c r="F134" s="167"/>
      <c r="G134" s="167"/>
      <c r="H134" s="167"/>
      <c r="I134" s="167"/>
    </row>
    <row r="135" spans="4:19" ht="20.25" customHeight="1" x14ac:dyDescent="0.25">
      <c r="E135" s="167"/>
      <c r="F135" s="167"/>
      <c r="G135" s="167"/>
      <c r="H135" s="167"/>
      <c r="I135" s="167"/>
      <c r="J135" s="209" t="s">
        <v>244</v>
      </c>
      <c r="L135" s="248">
        <f>L130-L133</f>
        <v>-1.7158</v>
      </c>
    </row>
    <row r="136" spans="4:19" ht="20.25" customHeight="1" thickBot="1" x14ac:dyDescent="0.3">
      <c r="E136" s="167"/>
      <c r="F136" s="167"/>
      <c r="G136" s="167"/>
      <c r="H136" s="167"/>
      <c r="I136" s="167"/>
      <c r="J136" s="167" t="s">
        <v>547</v>
      </c>
      <c r="L136" s="161">
        <f>(L135-(K125/1000))</f>
        <v>-1.9157999999999999</v>
      </c>
    </row>
    <row r="137" spans="4:19" ht="20.25" customHeight="1" thickBot="1" x14ac:dyDescent="0.3">
      <c r="E137" s="167"/>
      <c r="F137" s="167"/>
      <c r="G137" s="167"/>
      <c r="H137" s="167"/>
      <c r="I137" s="167"/>
      <c r="J137" s="167" t="s">
        <v>548</v>
      </c>
      <c r="L137" s="76">
        <v>2</v>
      </c>
    </row>
    <row r="138" spans="4:19" ht="20.25" customHeight="1" thickBot="1" x14ac:dyDescent="0.3">
      <c r="E138" s="167"/>
      <c r="F138" s="167"/>
      <c r="G138" s="167"/>
      <c r="H138" s="167"/>
      <c r="I138" s="167"/>
      <c r="J138" s="208" t="s">
        <v>244</v>
      </c>
      <c r="L138" s="161">
        <f>L127-L137</f>
        <v>-2</v>
      </c>
    </row>
    <row r="139" spans="4:19" ht="20.25" customHeight="1" thickBot="1" x14ac:dyDescent="0.3">
      <c r="E139" s="167"/>
      <c r="F139" s="167"/>
      <c r="G139" s="167"/>
      <c r="H139" s="167"/>
      <c r="J139" s="171" t="s">
        <v>549</v>
      </c>
      <c r="L139" s="80">
        <v>0.1</v>
      </c>
    </row>
    <row r="140" spans="4:19" ht="20.25" customHeight="1" x14ac:dyDescent="0.25">
      <c r="F140" s="167"/>
      <c r="G140" s="167"/>
      <c r="H140" s="167"/>
      <c r="I140" s="167"/>
      <c r="J140" s="170" t="s">
        <v>496</v>
      </c>
      <c r="L140" s="159">
        <f>L139*(3.1416/4)*((L111/1000)^2)*1000</f>
        <v>176.715</v>
      </c>
    </row>
    <row r="141" spans="4:19" ht="20.25" customHeight="1" x14ac:dyDescent="0.25">
      <c r="E141" s="167"/>
      <c r="F141" s="167"/>
      <c r="G141" s="167"/>
      <c r="H141" s="167"/>
      <c r="I141" s="167"/>
      <c r="J141" s="209" t="s">
        <v>244</v>
      </c>
      <c r="L141" s="161">
        <f>L138-L139</f>
        <v>-2.1</v>
      </c>
    </row>
    <row r="142" spans="4:19" ht="20.25" customHeight="1" x14ac:dyDescent="0.25">
      <c r="D142" s="167"/>
      <c r="E142" s="167"/>
      <c r="F142" s="167"/>
      <c r="G142" s="167"/>
      <c r="H142" s="167"/>
      <c r="I142" s="167"/>
      <c r="J142" s="209" t="s">
        <v>497</v>
      </c>
      <c r="L142" s="161">
        <f>IF(AND(V125="",V127=""),"Eingaben prüfen",IF(V125="",V127,IF(V127="",V125,"Eingaben prüfen")))</f>
        <v>0.463980165740561</v>
      </c>
    </row>
    <row r="143" spans="4:19" ht="20.25" customHeight="1" x14ac:dyDescent="0.25">
      <c r="E143" s="167"/>
      <c r="F143" s="167"/>
      <c r="G143" s="167"/>
      <c r="H143" s="167"/>
      <c r="I143" s="167"/>
      <c r="J143" s="208" t="s">
        <v>244</v>
      </c>
      <c r="L143" s="161">
        <f>L141-L142</f>
        <v>-2.5639801657405612</v>
      </c>
      <c r="P143" s="208"/>
    </row>
    <row r="144" spans="4:19" ht="20.25" customHeight="1" x14ac:dyDescent="0.25">
      <c r="E144" s="167"/>
      <c r="F144" s="167"/>
      <c r="G144" s="167"/>
      <c r="H144" s="167"/>
      <c r="I144" s="167"/>
    </row>
    <row r="145" spans="5:15" ht="20.25" customHeight="1" x14ac:dyDescent="0.25">
      <c r="E145" s="167"/>
      <c r="F145" s="167"/>
      <c r="G145" s="167"/>
      <c r="H145" s="167"/>
      <c r="I145" s="167"/>
      <c r="J145" s="167" t="s">
        <v>244</v>
      </c>
      <c r="L145" s="161">
        <f>L143-($L$86/1000)</f>
        <v>-3.0639801657405612</v>
      </c>
    </row>
    <row r="146" spans="5:15" ht="20.25" customHeight="1" x14ac:dyDescent="0.25">
      <c r="E146" s="167"/>
      <c r="F146" s="167"/>
      <c r="G146" s="167"/>
      <c r="H146" s="167"/>
      <c r="I146" s="167"/>
    </row>
    <row r="147" spans="5:15" ht="20.25" customHeight="1" x14ac:dyDescent="0.25"/>
    <row r="148" spans="5:15" ht="20.25" customHeight="1" x14ac:dyDescent="0.25">
      <c r="E148" s="170" t="s">
        <v>504</v>
      </c>
      <c r="O148" s="210"/>
    </row>
    <row r="149" spans="5:15" ht="20.25" customHeight="1" x14ac:dyDescent="0.25"/>
    <row r="150" spans="5:15" ht="20.25" customHeight="1" x14ac:dyDescent="0.25">
      <c r="E150" s="211"/>
      <c r="F150" s="211"/>
      <c r="G150" s="211"/>
      <c r="H150" s="211"/>
      <c r="I150" s="211"/>
      <c r="J150" s="211"/>
      <c r="K150" s="211"/>
      <c r="L150" s="211"/>
    </row>
    <row r="151" spans="5:15" ht="21" customHeight="1" x14ac:dyDescent="0.25">
      <c r="E151" s="208" t="s">
        <v>244</v>
      </c>
      <c r="F151" s="212" t="s">
        <v>505</v>
      </c>
      <c r="G151" s="211"/>
      <c r="H151" s="211"/>
      <c r="I151" s="211"/>
      <c r="J151" s="211"/>
      <c r="K151" s="211"/>
      <c r="L151" s="211"/>
    </row>
    <row r="152" spans="5:15" ht="23.25" customHeight="1" x14ac:dyDescent="0.25">
      <c r="J152" s="167"/>
      <c r="K152" s="208"/>
    </row>
    <row r="153" spans="5:15" s="196" customFormat="1" ht="20.25" customHeight="1" x14ac:dyDescent="0.25">
      <c r="E153" s="208" t="s">
        <v>244</v>
      </c>
      <c r="F153" s="212" t="s">
        <v>506</v>
      </c>
    </row>
    <row r="154" spans="5:15" s="196" customFormat="1" ht="20.25" customHeight="1" x14ac:dyDescent="0.25"/>
    <row r="155" spans="5:15" s="196" customFormat="1" ht="20.25" customHeight="1" x14ac:dyDescent="0.25">
      <c r="E155" s="209" t="s">
        <v>244</v>
      </c>
      <c r="F155" s="212" t="s">
        <v>507</v>
      </c>
    </row>
    <row r="156" spans="5:15" s="196" customFormat="1" ht="20.25" customHeight="1" x14ac:dyDescent="0.25"/>
    <row r="157" spans="5:15" s="196" customFormat="1" ht="20.25" customHeight="1" x14ac:dyDescent="0.25">
      <c r="E157" s="208" t="s">
        <v>244</v>
      </c>
      <c r="F157" s="212" t="s">
        <v>508</v>
      </c>
    </row>
    <row r="158" spans="5:15" s="196" customFormat="1" ht="20.25" customHeight="1" x14ac:dyDescent="0.25"/>
    <row r="159" spans="5:15" s="196" customFormat="1" ht="20.25" customHeight="1" x14ac:dyDescent="0.25">
      <c r="E159" s="209" t="s">
        <v>244</v>
      </c>
      <c r="F159" s="212" t="s">
        <v>509</v>
      </c>
    </row>
    <row r="160" spans="5:15" s="196" customFormat="1" ht="20.25" customHeight="1" x14ac:dyDescent="0.25">
      <c r="F160" s="212" t="s">
        <v>510</v>
      </c>
    </row>
    <row r="161" spans="5:6" s="196" customFormat="1" ht="20.25" customHeight="1" x14ac:dyDescent="0.25"/>
    <row r="162" spans="5:6" s="196" customFormat="1" ht="20.25" customHeight="1" x14ac:dyDescent="0.25">
      <c r="E162" s="208" t="s">
        <v>244</v>
      </c>
      <c r="F162" s="212" t="s">
        <v>511</v>
      </c>
    </row>
    <row r="163" spans="5:6" s="196" customFormat="1" ht="20.25" customHeight="1" x14ac:dyDescent="0.25"/>
    <row r="164" spans="5:6" s="196" customFormat="1" ht="20.25" customHeight="1" x14ac:dyDescent="0.25">
      <c r="E164" s="167" t="s">
        <v>244</v>
      </c>
      <c r="F164" s="212" t="s">
        <v>512</v>
      </c>
    </row>
    <row r="165" spans="5:6" s="196" customFormat="1" ht="20.25" customHeight="1" x14ac:dyDescent="0.25"/>
    <row r="166" spans="5:6" s="196" customFormat="1" ht="20.25" customHeight="1" x14ac:dyDescent="0.25"/>
    <row r="167" spans="5:6" s="196" customFormat="1" ht="20.25" customHeight="1" x14ac:dyDescent="0.25"/>
    <row r="168" spans="5:6" s="196" customFormat="1" ht="20.25" customHeight="1" x14ac:dyDescent="0.25"/>
    <row r="169" spans="5:6" s="196" customFormat="1" ht="20.25" customHeight="1" x14ac:dyDescent="0.25"/>
    <row r="170" spans="5:6" s="196" customFormat="1" ht="20.25" customHeight="1" x14ac:dyDescent="0.25"/>
    <row r="171" spans="5:6" s="196" customFormat="1" ht="20.25" customHeight="1" x14ac:dyDescent="0.25"/>
    <row r="172" spans="5:6" s="196" customFormat="1" ht="20.25" customHeight="1" x14ac:dyDescent="0.25"/>
    <row r="173" spans="5:6" s="196" customFormat="1" ht="20.25" customHeight="1" x14ac:dyDescent="0.25"/>
    <row r="174" spans="5:6" s="196" customFormat="1" ht="20.25" customHeight="1" x14ac:dyDescent="0.25"/>
    <row r="175" spans="5:6" s="196" customFormat="1" ht="20.25" customHeight="1" x14ac:dyDescent="0.25"/>
    <row r="176" spans="5:6" s="196" customFormat="1" ht="20.25" customHeight="1" x14ac:dyDescent="0.25"/>
    <row r="177" spans="5:19" s="196" customFormat="1" ht="20.25" customHeight="1" x14ac:dyDescent="0.25"/>
    <row r="178" spans="5:19" s="196" customFormat="1" ht="20.25" customHeight="1" x14ac:dyDescent="0.25"/>
    <row r="179" spans="5:19" s="196" customFormat="1" ht="20.25" customHeight="1" x14ac:dyDescent="0.25"/>
    <row r="180" spans="5:19" s="196" customFormat="1" ht="20.25" customHeight="1" x14ac:dyDescent="0.25"/>
    <row r="181" spans="5:19" s="196" customFormat="1" ht="20.25" customHeight="1" x14ac:dyDescent="0.25"/>
    <row r="182" spans="5:19" s="196" customFormat="1" ht="20.25" customHeight="1" x14ac:dyDescent="0.25"/>
    <row r="183" spans="5:19" s="196" customFormat="1" ht="20.25" customHeight="1" x14ac:dyDescent="0.25"/>
    <row r="184" spans="5:19" s="196" customFormat="1" ht="20.25" customHeight="1" x14ac:dyDescent="0.25"/>
    <row r="185" spans="5:19" s="196" customFormat="1" ht="20.25" customHeight="1" x14ac:dyDescent="0.25"/>
    <row r="186" spans="5:19" s="196" customFormat="1" ht="20.25" customHeight="1" x14ac:dyDescent="0.25"/>
    <row r="187" spans="5:19" ht="20.25" customHeight="1" x14ac:dyDescent="0.25">
      <c r="E187" s="167"/>
      <c r="F187" s="167"/>
      <c r="G187" s="167"/>
      <c r="H187" s="167"/>
      <c r="I187" s="167"/>
      <c r="J187" s="167"/>
      <c r="K187" s="167"/>
      <c r="L187" s="167"/>
    </row>
    <row r="188" spans="5:19" ht="20.25" customHeight="1" x14ac:dyDescent="0.25">
      <c r="E188" s="167"/>
      <c r="F188" s="167"/>
      <c r="G188" s="167"/>
      <c r="H188" s="167"/>
      <c r="I188" s="167"/>
      <c r="J188" s="167"/>
      <c r="K188" s="167"/>
      <c r="L188" s="167"/>
    </row>
    <row r="189" spans="5:19" ht="20.25" customHeight="1" x14ac:dyDescent="0.25">
      <c r="E189" s="167"/>
      <c r="F189" s="167"/>
      <c r="G189" s="167"/>
      <c r="H189" s="167"/>
      <c r="I189" s="167"/>
      <c r="J189" s="167"/>
      <c r="K189" s="167"/>
      <c r="L189" s="167"/>
    </row>
    <row r="190" spans="5:19" ht="20.25" hidden="1" customHeight="1" x14ac:dyDescent="0.25">
      <c r="E190" s="167"/>
      <c r="F190" s="167"/>
      <c r="G190" s="167"/>
      <c r="H190" s="167"/>
      <c r="I190" s="167"/>
      <c r="J190" s="167"/>
      <c r="K190" s="167"/>
      <c r="L190" s="167"/>
    </row>
    <row r="191" spans="5:19" ht="20.25" hidden="1" customHeight="1" x14ac:dyDescent="0.25">
      <c r="E191" s="167"/>
      <c r="F191" s="167"/>
      <c r="G191" s="167"/>
      <c r="H191" s="167"/>
      <c r="I191" s="167"/>
      <c r="J191" s="167"/>
      <c r="K191" s="167"/>
      <c r="L191" s="167"/>
    </row>
    <row r="192" spans="5:19" ht="20.25" hidden="1" customHeight="1" x14ac:dyDescent="0.25">
      <c r="E192" s="167"/>
      <c r="F192" s="167"/>
      <c r="G192" s="167"/>
      <c r="H192" s="167"/>
      <c r="I192" s="213" t="s">
        <v>219</v>
      </c>
      <c r="J192" s="172"/>
      <c r="K192" s="172"/>
      <c r="L192" s="214"/>
      <c r="M192" s="172"/>
      <c r="N192" s="172"/>
      <c r="O192" s="213"/>
      <c r="R192" s="213"/>
      <c r="S192" s="213"/>
    </row>
    <row r="193" spans="3:19" ht="20.25" hidden="1" customHeight="1" x14ac:dyDescent="0.25">
      <c r="E193" s="167"/>
      <c r="F193" s="167"/>
      <c r="G193" s="167"/>
      <c r="H193" s="167"/>
      <c r="I193" s="172" t="s">
        <v>221</v>
      </c>
      <c r="J193" s="172" t="s">
        <v>222</v>
      </c>
      <c r="K193" s="172" t="s">
        <v>223</v>
      </c>
      <c r="L193" s="172" t="s">
        <v>224</v>
      </c>
      <c r="M193" s="172" t="s">
        <v>225</v>
      </c>
      <c r="N193" s="215" t="s">
        <v>207</v>
      </c>
      <c r="O193" s="215" t="s">
        <v>226</v>
      </c>
      <c r="R193" s="213"/>
      <c r="S193" s="213"/>
    </row>
    <row r="194" spans="3:19" ht="20.25" hidden="1" customHeight="1" x14ac:dyDescent="0.25">
      <c r="C194" s="216" t="s">
        <v>220</v>
      </c>
      <c r="D194" s="217">
        <f>($K$11*($E$11/1000))/'9'!$F$36</f>
        <v>60929.721792845172</v>
      </c>
      <c r="E194" s="167"/>
      <c r="F194" s="216" t="s">
        <v>242</v>
      </c>
      <c r="G194" s="216">
        <f>IFERROR(IF(E8='4'!C124,VLOOKUP(H8,'4'!D3:M17,8,0),IF(E8='4'!C125,VLOOKUP(H8,'4'!D18:M30,8,0),IF(E8='4'!C126,VLOOKUP(H8,'4'!D31:M46,8,0),IF(E8='4'!C127,VLOOKUP(H8,'4'!D47:M59,8,0),IF(E8='4'!C128,VLOOKUP(H8,'4'!D60:M78,8,0),IF(E8='4'!C129,VLOOKUP(H8,'4'!D79:M92,8,0),IF(E8='4'!C130,VLOOKUP(H8,'4'!D93:Q102,8,0),""))))))),"nicht vorhanden")</f>
        <v>2.446183953033268E-3</v>
      </c>
      <c r="I194" s="218">
        <f>(0.785*(O194^2)*M194)*3600</f>
        <v>0</v>
      </c>
      <c r="J194" s="219">
        <f t="shared" ref="J194:J211" si="2">K194+(N194*($L$30/O194)+$K$50)*((M194^2)/(2*9.81))</f>
        <v>6</v>
      </c>
      <c r="K194" s="218">
        <f t="shared" ref="K194:K211" si="3">$L$57</f>
        <v>6</v>
      </c>
      <c r="L194" s="220">
        <f t="shared" ref="L194:L211" si="4">(N194*($L$30/O194)+$K$50)*((M194^2)/(2*9.81))</f>
        <v>0</v>
      </c>
      <c r="M194" s="172">
        <v>0</v>
      </c>
      <c r="N194" s="221">
        <f t="shared" ref="N194:N211" si="5">$L$22</f>
        <v>2.6999999999999941E-2</v>
      </c>
      <c r="O194" s="222">
        <f>$E$11/1000</f>
        <v>0.1022</v>
      </c>
      <c r="R194" s="213"/>
      <c r="S194" s="223"/>
    </row>
    <row r="195" spans="3:19" ht="20.25" hidden="1" customHeight="1" x14ac:dyDescent="0.25">
      <c r="E195" s="167"/>
      <c r="F195" s="167"/>
      <c r="G195" s="167"/>
      <c r="H195" s="167"/>
      <c r="I195" s="218">
        <f t="shared" ref="I195:I211" si="6">(0.785*(O195^2)*M195)*3600</f>
        <v>20.661982488</v>
      </c>
      <c r="J195" s="219">
        <f t="shared" si="2"/>
        <v>6.8321205647019383</v>
      </c>
      <c r="K195" s="218">
        <f t="shared" si="3"/>
        <v>6</v>
      </c>
      <c r="L195" s="220">
        <f t="shared" si="4"/>
        <v>0.83212056470193796</v>
      </c>
      <c r="M195" s="172">
        <v>0.7</v>
      </c>
      <c r="N195" s="221">
        <f t="shared" si="5"/>
        <v>2.6999999999999941E-2</v>
      </c>
      <c r="O195" s="222">
        <f t="shared" ref="O195:O211" si="7">$E$11/1000</f>
        <v>0.1022</v>
      </c>
      <c r="R195" s="213"/>
      <c r="S195" s="223"/>
    </row>
    <row r="196" spans="3:19" ht="20.25" hidden="1" customHeight="1" x14ac:dyDescent="0.25">
      <c r="C196" s="224" t="s">
        <v>230</v>
      </c>
      <c r="D196" s="213"/>
      <c r="E196" s="213"/>
      <c r="F196" s="213"/>
      <c r="G196" s="225" t="s">
        <v>231</v>
      </c>
      <c r="H196" s="214">
        <f>INDEX(C198:C384,MATCH(MIN(F198:F384),F198:F384,0))</f>
        <v>2.6999999999999941E-2</v>
      </c>
      <c r="I196" s="218">
        <f t="shared" si="6"/>
        <v>23.613694272</v>
      </c>
      <c r="J196" s="219">
        <f t="shared" si="2"/>
        <v>7.0868513498147765</v>
      </c>
      <c r="K196" s="218">
        <f t="shared" si="3"/>
        <v>6</v>
      </c>
      <c r="L196" s="220">
        <f t="shared" si="4"/>
        <v>1.0868513498147763</v>
      </c>
      <c r="M196" s="172">
        <f t="shared" ref="M196:M211" si="8">M195+0.1</f>
        <v>0.79999999999999993</v>
      </c>
      <c r="N196" s="221">
        <f t="shared" si="5"/>
        <v>2.6999999999999941E-2</v>
      </c>
      <c r="O196" s="222">
        <f t="shared" si="7"/>
        <v>0.1022</v>
      </c>
      <c r="R196" s="213"/>
      <c r="S196" s="223"/>
    </row>
    <row r="197" spans="3:19" ht="20.25" hidden="1" customHeight="1" x14ac:dyDescent="0.25">
      <c r="C197" s="226" t="s">
        <v>231</v>
      </c>
      <c r="D197" s="226" t="s">
        <v>228</v>
      </c>
      <c r="E197" s="226" t="s">
        <v>229</v>
      </c>
      <c r="F197" s="226" t="s">
        <v>232</v>
      </c>
      <c r="G197" s="167"/>
      <c r="H197" s="167"/>
      <c r="I197" s="218">
        <f t="shared" si="6"/>
        <v>26.565406056</v>
      </c>
      <c r="J197" s="219">
        <f t="shared" si="2"/>
        <v>7.3755462396093261</v>
      </c>
      <c r="K197" s="218">
        <f t="shared" si="3"/>
        <v>6</v>
      </c>
      <c r="L197" s="220">
        <f t="shared" si="4"/>
        <v>1.3755462396093261</v>
      </c>
      <c r="M197" s="172">
        <f t="shared" si="8"/>
        <v>0.89999999999999991</v>
      </c>
      <c r="N197" s="221">
        <f t="shared" si="5"/>
        <v>2.6999999999999941E-2</v>
      </c>
      <c r="O197" s="222">
        <f t="shared" si="7"/>
        <v>0.1022</v>
      </c>
      <c r="R197" s="213"/>
      <c r="S197" s="223"/>
    </row>
    <row r="198" spans="3:19" ht="20.25" hidden="1" customHeight="1" x14ac:dyDescent="0.25">
      <c r="C198" s="226">
        <v>0.1</v>
      </c>
      <c r="D198" s="226">
        <f>1/SQRT(C198)</f>
        <v>3.1622776601683791</v>
      </c>
      <c r="E198" s="226">
        <f>-2*LOG10(((2.51/($D$194*SQRT(C198)))+(0.269*$G$194)))</f>
        <v>6.2066240898449045</v>
      </c>
      <c r="F198" s="226">
        <f t="shared" ref="F198:F261" si="9">ROUND(ABS(D198-E198),3)</f>
        <v>3.044</v>
      </c>
      <c r="G198" s="167"/>
      <c r="H198" s="167"/>
      <c r="I198" s="218">
        <f t="shared" si="6"/>
        <v>29.517117839999997</v>
      </c>
      <c r="J198" s="219">
        <f t="shared" si="2"/>
        <v>7.698205234085588</v>
      </c>
      <c r="K198" s="218">
        <f t="shared" si="3"/>
        <v>6</v>
      </c>
      <c r="L198" s="220">
        <f t="shared" si="4"/>
        <v>1.6982052340855875</v>
      </c>
      <c r="M198" s="172">
        <f t="shared" si="8"/>
        <v>0.99999999999999989</v>
      </c>
      <c r="N198" s="221">
        <f t="shared" si="5"/>
        <v>2.6999999999999941E-2</v>
      </c>
      <c r="O198" s="222">
        <f t="shared" si="7"/>
        <v>0.1022</v>
      </c>
      <c r="R198" s="213"/>
      <c r="S198" s="223"/>
    </row>
    <row r="199" spans="3:19" ht="20.25" hidden="1" customHeight="1" x14ac:dyDescent="0.25">
      <c r="C199" s="226">
        <f>C198-0.0005</f>
        <v>9.9500000000000005E-2</v>
      </c>
      <c r="D199" s="226">
        <f>1/SQRT(C199)</f>
        <v>3.1702131247412066</v>
      </c>
      <c r="E199" s="226">
        <f t="shared" ref="E199:E262" si="10">-2*LOG10(((2.51/($D$194*SQRT(C199)))+(0.269*$G$194)))</f>
        <v>6.2062639649031794</v>
      </c>
      <c r="F199" s="226">
        <f t="shared" si="9"/>
        <v>3.036</v>
      </c>
      <c r="G199" s="167"/>
      <c r="H199" s="167"/>
      <c r="I199" s="218">
        <f t="shared" si="6"/>
        <v>32.468829624000001</v>
      </c>
      <c r="J199" s="219">
        <f t="shared" si="2"/>
        <v>8.0548283332435613</v>
      </c>
      <c r="K199" s="218">
        <f t="shared" si="3"/>
        <v>6</v>
      </c>
      <c r="L199" s="220">
        <f t="shared" si="4"/>
        <v>2.0548283332435613</v>
      </c>
      <c r="M199" s="172">
        <f t="shared" si="8"/>
        <v>1.0999999999999999</v>
      </c>
      <c r="N199" s="221">
        <f t="shared" si="5"/>
        <v>2.6999999999999941E-2</v>
      </c>
      <c r="O199" s="222">
        <f t="shared" si="7"/>
        <v>0.1022</v>
      </c>
      <c r="R199" s="213"/>
      <c r="S199" s="223"/>
    </row>
    <row r="200" spans="3:19" ht="20.25" hidden="1" customHeight="1" x14ac:dyDescent="0.25">
      <c r="C200" s="226">
        <f t="shared" ref="C200:C263" si="11">C199-0.0005</f>
        <v>9.9000000000000005E-2</v>
      </c>
      <c r="D200" s="226">
        <f t="shared" ref="D200:D263" si="12">1/SQRT(C200)</f>
        <v>3.1782086308186415</v>
      </c>
      <c r="E200" s="226">
        <f t="shared" si="10"/>
        <v>6.2059012661224395</v>
      </c>
      <c r="F200" s="226">
        <f t="shared" si="9"/>
        <v>3.028</v>
      </c>
      <c r="G200" s="167"/>
      <c r="H200" s="167"/>
      <c r="I200" s="218">
        <f t="shared" si="6"/>
        <v>35.420541408000005</v>
      </c>
      <c r="J200" s="219">
        <f t="shared" si="2"/>
        <v>8.445415537083246</v>
      </c>
      <c r="K200" s="218">
        <f t="shared" si="3"/>
        <v>6</v>
      </c>
      <c r="L200" s="220">
        <f t="shared" si="4"/>
        <v>2.4454155370832464</v>
      </c>
      <c r="M200" s="172">
        <f t="shared" si="8"/>
        <v>1.2</v>
      </c>
      <c r="N200" s="221">
        <f t="shared" si="5"/>
        <v>2.6999999999999941E-2</v>
      </c>
      <c r="O200" s="222">
        <f t="shared" si="7"/>
        <v>0.1022</v>
      </c>
      <c r="R200" s="213"/>
      <c r="S200" s="223"/>
    </row>
    <row r="201" spans="3:19" ht="20.25" hidden="1" customHeight="1" x14ac:dyDescent="0.25">
      <c r="C201" s="226">
        <f t="shared" si="11"/>
        <v>9.8500000000000004E-2</v>
      </c>
      <c r="D201" s="226">
        <f t="shared" si="12"/>
        <v>3.1862649393858304</v>
      </c>
      <c r="E201" s="226">
        <f t="shared" si="10"/>
        <v>6.205535962289435</v>
      </c>
      <c r="F201" s="226">
        <f t="shared" si="9"/>
        <v>3.0190000000000001</v>
      </c>
      <c r="G201" s="167"/>
      <c r="H201" s="167"/>
      <c r="I201" s="218">
        <f t="shared" si="6"/>
        <v>38.372253192000009</v>
      </c>
      <c r="J201" s="219">
        <f t="shared" si="2"/>
        <v>8.8699668456046439</v>
      </c>
      <c r="K201" s="218">
        <f t="shared" si="3"/>
        <v>6</v>
      </c>
      <c r="L201" s="220">
        <f t="shared" si="4"/>
        <v>2.8699668456046439</v>
      </c>
      <c r="M201" s="172">
        <f t="shared" si="8"/>
        <v>1.3</v>
      </c>
      <c r="N201" s="221">
        <f t="shared" si="5"/>
        <v>2.6999999999999941E-2</v>
      </c>
      <c r="O201" s="222">
        <f t="shared" si="7"/>
        <v>0.1022</v>
      </c>
      <c r="R201" s="213"/>
      <c r="S201" s="223"/>
    </row>
    <row r="202" spans="3:19" ht="20.25" hidden="1" customHeight="1" x14ac:dyDescent="0.25">
      <c r="C202" s="226">
        <f t="shared" si="11"/>
        <v>9.8000000000000004E-2</v>
      </c>
      <c r="D202" s="226">
        <f t="shared" si="12"/>
        <v>3.1943828249996993</v>
      </c>
      <c r="E202" s="226">
        <f t="shared" si="10"/>
        <v>6.2051680216543783</v>
      </c>
      <c r="F202" s="226">
        <f t="shared" si="9"/>
        <v>3.0110000000000001</v>
      </c>
      <c r="G202" s="167"/>
      <c r="H202" s="167"/>
      <c r="I202" s="218">
        <f t="shared" si="6"/>
        <v>41.323964976000006</v>
      </c>
      <c r="J202" s="219">
        <f t="shared" si="2"/>
        <v>9.3284822588077532</v>
      </c>
      <c r="K202" s="218">
        <f t="shared" si="3"/>
        <v>6</v>
      </c>
      <c r="L202" s="220">
        <f t="shared" si="4"/>
        <v>3.3284822588077532</v>
      </c>
      <c r="M202" s="172">
        <f t="shared" si="8"/>
        <v>1.4000000000000001</v>
      </c>
      <c r="N202" s="221">
        <f t="shared" si="5"/>
        <v>2.6999999999999941E-2</v>
      </c>
      <c r="O202" s="222">
        <f t="shared" si="7"/>
        <v>0.1022</v>
      </c>
      <c r="R202" s="213"/>
      <c r="S202" s="223"/>
    </row>
    <row r="203" spans="3:19" ht="20.25" hidden="1" customHeight="1" x14ac:dyDescent="0.25">
      <c r="C203" s="226">
        <f t="shared" si="11"/>
        <v>9.7500000000000003E-2</v>
      </c>
      <c r="D203" s="226">
        <f t="shared" si="12"/>
        <v>3.2025630761017427</v>
      </c>
      <c r="E203" s="226">
        <f t="shared" si="10"/>
        <v>6.2047974119189684</v>
      </c>
      <c r="F203" s="226">
        <f t="shared" si="9"/>
        <v>3.0019999999999998</v>
      </c>
      <c r="G203" s="167"/>
      <c r="H203" s="167"/>
      <c r="I203" s="218">
        <f t="shared" si="6"/>
        <v>44.275676760000017</v>
      </c>
      <c r="J203" s="219">
        <f t="shared" si="2"/>
        <v>9.8209617766925739</v>
      </c>
      <c r="K203" s="218">
        <f t="shared" si="3"/>
        <v>6</v>
      </c>
      <c r="L203" s="220">
        <f t="shared" si="4"/>
        <v>3.8209617766925743</v>
      </c>
      <c r="M203" s="172">
        <f t="shared" si="8"/>
        <v>1.5000000000000002</v>
      </c>
      <c r="N203" s="221">
        <f t="shared" si="5"/>
        <v>2.6999999999999941E-2</v>
      </c>
      <c r="O203" s="222">
        <f t="shared" si="7"/>
        <v>0.1022</v>
      </c>
      <c r="R203" s="213"/>
      <c r="S203" s="223"/>
    </row>
    <row r="204" spans="3:19" ht="20.25" hidden="1" customHeight="1" x14ac:dyDescent="0.25">
      <c r="C204" s="226">
        <f t="shared" si="11"/>
        <v>9.7000000000000003E-2</v>
      </c>
      <c r="D204" s="226">
        <f t="shared" si="12"/>
        <v>3.2108064953396775</v>
      </c>
      <c r="E204" s="226">
        <f t="shared" si="10"/>
        <v>6.2044241002240827</v>
      </c>
      <c r="F204" s="226">
        <f t="shared" si="9"/>
        <v>2.9940000000000002</v>
      </c>
      <c r="G204" s="167"/>
      <c r="H204" s="167"/>
      <c r="I204" s="218">
        <f t="shared" si="6"/>
        <v>47.227388544000014</v>
      </c>
      <c r="J204" s="219">
        <f t="shared" si="2"/>
        <v>10.347405399259106</v>
      </c>
      <c r="K204" s="218">
        <f t="shared" si="3"/>
        <v>6</v>
      </c>
      <c r="L204" s="220">
        <f t="shared" si="4"/>
        <v>4.3474053992591069</v>
      </c>
      <c r="M204" s="172">
        <f t="shared" si="8"/>
        <v>1.6000000000000003</v>
      </c>
      <c r="N204" s="221">
        <f t="shared" si="5"/>
        <v>2.6999999999999941E-2</v>
      </c>
      <c r="O204" s="222">
        <f t="shared" si="7"/>
        <v>0.1022</v>
      </c>
      <c r="R204" s="213"/>
      <c r="S204" s="223"/>
    </row>
    <row r="205" spans="3:19" ht="20.25" hidden="1" customHeight="1" x14ac:dyDescent="0.25">
      <c r="C205" s="226">
        <f t="shared" si="11"/>
        <v>9.6500000000000002E-2</v>
      </c>
      <c r="D205" s="226">
        <f t="shared" si="12"/>
        <v>3.219113899898252</v>
      </c>
      <c r="E205" s="226">
        <f t="shared" si="10"/>
        <v>6.2040480531371349</v>
      </c>
      <c r="F205" s="226">
        <f t="shared" si="9"/>
        <v>2.9849999999999999</v>
      </c>
      <c r="G205" s="167"/>
      <c r="H205" s="167"/>
      <c r="I205" s="218">
        <f t="shared" si="6"/>
        <v>50.179100328000018</v>
      </c>
      <c r="J205" s="219">
        <f t="shared" si="2"/>
        <v>10.907813126507351</v>
      </c>
      <c r="K205" s="218">
        <f t="shared" si="3"/>
        <v>6</v>
      </c>
      <c r="L205" s="220">
        <f t="shared" si="4"/>
        <v>4.9078131265073512</v>
      </c>
      <c r="M205" s="172">
        <f t="shared" si="8"/>
        <v>1.7000000000000004</v>
      </c>
      <c r="N205" s="221">
        <f t="shared" si="5"/>
        <v>2.6999999999999941E-2</v>
      </c>
      <c r="O205" s="222">
        <f t="shared" si="7"/>
        <v>0.1022</v>
      </c>
      <c r="R205" s="213"/>
      <c r="S205" s="223"/>
    </row>
    <row r="206" spans="3:19" ht="20.25" hidden="1" customHeight="1" x14ac:dyDescent="0.25">
      <c r="C206" s="226">
        <f t="shared" si="11"/>
        <v>9.6000000000000002E-2</v>
      </c>
      <c r="D206" s="226">
        <f t="shared" si="12"/>
        <v>3.2274861218395139</v>
      </c>
      <c r="E206" s="226">
        <f t="shared" si="10"/>
        <v>6.2036692366390733</v>
      </c>
      <c r="F206" s="226">
        <f t="shared" si="9"/>
        <v>2.976</v>
      </c>
      <c r="G206" s="167"/>
      <c r="H206" s="167"/>
      <c r="I206" s="218">
        <f t="shared" si="6"/>
        <v>53.130812112000022</v>
      </c>
      <c r="J206" s="219">
        <f t="shared" si="2"/>
        <v>11.502184958437308</v>
      </c>
      <c r="K206" s="218">
        <f t="shared" si="3"/>
        <v>6</v>
      </c>
      <c r="L206" s="220">
        <f t="shared" si="4"/>
        <v>5.5021849584373079</v>
      </c>
      <c r="M206" s="172">
        <f t="shared" si="8"/>
        <v>1.8000000000000005</v>
      </c>
      <c r="N206" s="221">
        <f t="shared" si="5"/>
        <v>2.6999999999999941E-2</v>
      </c>
      <c r="O206" s="222">
        <f t="shared" si="7"/>
        <v>0.1022</v>
      </c>
      <c r="R206" s="213"/>
      <c r="S206" s="223"/>
    </row>
    <row r="207" spans="3:19" ht="20.25" hidden="1" customHeight="1" x14ac:dyDescent="0.25">
      <c r="C207" s="226">
        <f t="shared" si="11"/>
        <v>9.5500000000000002E-2</v>
      </c>
      <c r="D207" s="226">
        <f t="shared" si="12"/>
        <v>3.235924008452868</v>
      </c>
      <c r="E207" s="226">
        <f t="shared" si="10"/>
        <v>6.203287616111024</v>
      </c>
      <c r="F207" s="226">
        <f t="shared" si="9"/>
        <v>2.9670000000000001</v>
      </c>
      <c r="G207" s="167"/>
      <c r="H207" s="167"/>
      <c r="I207" s="218">
        <f t="shared" si="6"/>
        <v>56.082523896000026</v>
      </c>
      <c r="J207" s="219">
        <f t="shared" si="2"/>
        <v>12.130520895048976</v>
      </c>
      <c r="K207" s="218">
        <f t="shared" si="3"/>
        <v>6</v>
      </c>
      <c r="L207" s="220">
        <f t="shared" si="4"/>
        <v>6.130520895048976</v>
      </c>
      <c r="M207" s="172">
        <f t="shared" si="8"/>
        <v>1.9000000000000006</v>
      </c>
      <c r="N207" s="221">
        <f t="shared" si="5"/>
        <v>2.6999999999999941E-2</v>
      </c>
      <c r="O207" s="222">
        <f t="shared" si="7"/>
        <v>0.1022</v>
      </c>
      <c r="R207" s="213"/>
      <c r="S207" s="223"/>
    </row>
    <row r="208" spans="3:19" ht="20.25" hidden="1" customHeight="1" x14ac:dyDescent="0.25">
      <c r="C208" s="226">
        <f t="shared" si="11"/>
        <v>9.5000000000000001E-2</v>
      </c>
      <c r="D208" s="226">
        <f t="shared" si="12"/>
        <v>3.2444284226152509</v>
      </c>
      <c r="E208" s="226">
        <f t="shared" si="10"/>
        <v>6.2029031563205494</v>
      </c>
      <c r="F208" s="226">
        <f t="shared" si="9"/>
        <v>2.9580000000000002</v>
      </c>
      <c r="G208" s="167"/>
      <c r="H208" s="167"/>
      <c r="I208" s="218">
        <f t="shared" si="6"/>
        <v>59.034235680000016</v>
      </c>
      <c r="J208" s="219">
        <f t="shared" si="2"/>
        <v>12.792820936342356</v>
      </c>
      <c r="K208" s="218">
        <f t="shared" si="3"/>
        <v>6</v>
      </c>
      <c r="L208" s="220">
        <f t="shared" si="4"/>
        <v>6.7928209363423546</v>
      </c>
      <c r="M208" s="172">
        <f t="shared" si="8"/>
        <v>2.0000000000000004</v>
      </c>
      <c r="N208" s="221">
        <f t="shared" si="5"/>
        <v>2.6999999999999941E-2</v>
      </c>
      <c r="O208" s="222">
        <f t="shared" si="7"/>
        <v>0.1022</v>
      </c>
      <c r="R208" s="213"/>
      <c r="S208" s="223"/>
    </row>
    <row r="209" spans="3:19" ht="20.25" hidden="1" customHeight="1" x14ac:dyDescent="0.25">
      <c r="C209" s="226">
        <f t="shared" si="11"/>
        <v>9.4500000000000001E-2</v>
      </c>
      <c r="D209" s="226">
        <f t="shared" si="12"/>
        <v>3.253000243161777</v>
      </c>
      <c r="E209" s="226">
        <f t="shared" si="10"/>
        <v>6.2025158214075313</v>
      </c>
      <c r="F209" s="226">
        <f t="shared" si="9"/>
        <v>2.95</v>
      </c>
      <c r="G209" s="167"/>
      <c r="H209" s="167"/>
      <c r="I209" s="218">
        <f t="shared" si="6"/>
        <v>61.98594746400002</v>
      </c>
      <c r="J209" s="219">
        <f t="shared" si="2"/>
        <v>13.489085082317448</v>
      </c>
      <c r="K209" s="218">
        <f t="shared" si="3"/>
        <v>6</v>
      </c>
      <c r="L209" s="220">
        <f t="shared" si="4"/>
        <v>7.4890850823174473</v>
      </c>
      <c r="M209" s="172">
        <f t="shared" si="8"/>
        <v>2.1000000000000005</v>
      </c>
      <c r="N209" s="221">
        <f t="shared" si="5"/>
        <v>2.6999999999999941E-2</v>
      </c>
      <c r="O209" s="222">
        <f t="shared" si="7"/>
        <v>0.1022</v>
      </c>
      <c r="R209" s="213"/>
      <c r="S209" s="223"/>
    </row>
    <row r="210" spans="3:19" ht="20.25" hidden="1" customHeight="1" x14ac:dyDescent="0.25">
      <c r="C210" s="226">
        <f t="shared" si="11"/>
        <v>9.4E-2</v>
      </c>
      <c r="D210" s="226">
        <f t="shared" si="12"/>
        <v>3.2616403652672115</v>
      </c>
      <c r="E210" s="226">
        <f t="shared" si="10"/>
        <v>6.2021255748696369</v>
      </c>
      <c r="F210" s="226">
        <f t="shared" si="9"/>
        <v>2.94</v>
      </c>
      <c r="G210" s="167"/>
      <c r="H210" s="167"/>
      <c r="I210" s="218">
        <f t="shared" si="6"/>
        <v>64.937659248000017</v>
      </c>
      <c r="J210" s="219">
        <f t="shared" si="2"/>
        <v>14.21931333297425</v>
      </c>
      <c r="K210" s="218">
        <f t="shared" si="3"/>
        <v>6</v>
      </c>
      <c r="L210" s="220">
        <f t="shared" si="4"/>
        <v>8.2193133329742505</v>
      </c>
      <c r="M210" s="172">
        <f t="shared" si="8"/>
        <v>2.2000000000000006</v>
      </c>
      <c r="N210" s="221">
        <f t="shared" si="5"/>
        <v>2.6999999999999941E-2</v>
      </c>
      <c r="O210" s="222">
        <f t="shared" si="7"/>
        <v>0.1022</v>
      </c>
      <c r="R210" s="213"/>
      <c r="S210" s="223"/>
    </row>
    <row r="211" spans="3:19" ht="20.25" hidden="1" customHeight="1" x14ac:dyDescent="0.25">
      <c r="C211" s="226">
        <f t="shared" si="11"/>
        <v>9.35E-2</v>
      </c>
      <c r="D211" s="226">
        <f t="shared" si="12"/>
        <v>3.2703497008386426</v>
      </c>
      <c r="E211" s="226">
        <f t="shared" si="10"/>
        <v>6.201732379547388</v>
      </c>
      <c r="F211" s="226">
        <f t="shared" si="9"/>
        <v>2.931</v>
      </c>
      <c r="G211" s="167"/>
      <c r="H211" s="167"/>
      <c r="I211" s="218">
        <f t="shared" si="6"/>
        <v>67.889371032000028</v>
      </c>
      <c r="J211" s="219">
        <f t="shared" si="2"/>
        <v>14.983505688312768</v>
      </c>
      <c r="K211" s="218">
        <f t="shared" si="3"/>
        <v>6</v>
      </c>
      <c r="L211" s="220">
        <f t="shared" si="4"/>
        <v>8.9835056883127677</v>
      </c>
      <c r="M211" s="172">
        <f t="shared" si="8"/>
        <v>2.3000000000000007</v>
      </c>
      <c r="N211" s="221">
        <f t="shared" si="5"/>
        <v>2.6999999999999941E-2</v>
      </c>
      <c r="O211" s="222">
        <f t="shared" si="7"/>
        <v>0.1022</v>
      </c>
      <c r="R211" s="213"/>
      <c r="S211" s="223"/>
    </row>
    <row r="212" spans="3:19" ht="20.25" hidden="1" customHeight="1" x14ac:dyDescent="0.25">
      <c r="C212" s="226">
        <f t="shared" si="11"/>
        <v>9.2999999999999999E-2</v>
      </c>
      <c r="D212" s="226">
        <f t="shared" si="12"/>
        <v>3.2791291789197645</v>
      </c>
      <c r="E212" s="226">
        <f t="shared" si="10"/>
        <v>6.2013361976087884</v>
      </c>
      <c r="F212" s="226">
        <f t="shared" si="9"/>
        <v>2.9220000000000002</v>
      </c>
      <c r="G212" s="167"/>
      <c r="H212" s="167"/>
      <c r="I212" s="167"/>
      <c r="P212" s="213"/>
      <c r="Q212" s="213"/>
      <c r="R212" s="213"/>
      <c r="S212" s="213"/>
    </row>
    <row r="213" spans="3:19" ht="20.25" hidden="1" customHeight="1" x14ac:dyDescent="0.25">
      <c r="C213" s="226">
        <f t="shared" si="11"/>
        <v>9.2499999999999999E-2</v>
      </c>
      <c r="D213" s="226">
        <f t="shared" si="12"/>
        <v>3.2879797461071463</v>
      </c>
      <c r="E213" s="226">
        <f t="shared" si="10"/>
        <v>6.2009369905335134</v>
      </c>
      <c r="F213" s="226">
        <f t="shared" si="9"/>
        <v>2.9129999999999998</v>
      </c>
      <c r="G213" s="167"/>
      <c r="H213" s="167"/>
      <c r="I213" s="167"/>
      <c r="P213" s="213"/>
      <c r="Q213" s="214"/>
      <c r="R213" s="214"/>
      <c r="S213" s="213"/>
    </row>
    <row r="214" spans="3:19" ht="20.25" hidden="1" customHeight="1" x14ac:dyDescent="0.25">
      <c r="C214" s="226">
        <f t="shared" si="11"/>
        <v>9.1999999999999998E-2</v>
      </c>
      <c r="D214" s="226">
        <f t="shared" si="12"/>
        <v>3.2969023669789346</v>
      </c>
      <c r="E214" s="226">
        <f t="shared" si="10"/>
        <v>6.2005347190966384</v>
      </c>
      <c r="F214" s="226">
        <f t="shared" si="9"/>
        <v>2.9039999999999999</v>
      </c>
      <c r="G214" s="167"/>
      <c r="H214" s="167"/>
      <c r="I214" s="213"/>
      <c r="J214" s="213"/>
      <c r="K214" s="213"/>
      <c r="L214" s="213"/>
      <c r="M214" s="213"/>
      <c r="N214" s="213"/>
      <c r="P214" s="172"/>
      <c r="Q214" s="219"/>
      <c r="R214" s="219"/>
      <c r="S214" s="219"/>
    </row>
    <row r="215" spans="3:19" ht="20.25" hidden="1" customHeight="1" x14ac:dyDescent="0.25">
      <c r="C215" s="226">
        <f t="shared" si="11"/>
        <v>9.1499999999999998E-2</v>
      </c>
      <c r="D215" s="226">
        <f t="shared" si="12"/>
        <v>3.3058980245364316</v>
      </c>
      <c r="E215" s="226">
        <f t="shared" si="10"/>
        <v>6.2001293433518994</v>
      </c>
      <c r="F215" s="226">
        <f t="shared" si="9"/>
        <v>2.8940000000000001</v>
      </c>
      <c r="G215" s="167"/>
      <c r="H215" s="167"/>
      <c r="I215" s="213"/>
      <c r="J215" s="172"/>
      <c r="K215" s="172"/>
      <c r="L215" s="213"/>
      <c r="M215" s="172"/>
      <c r="N215" s="172"/>
      <c r="P215" s="172"/>
      <c r="Q215" s="219"/>
      <c r="R215" s="219"/>
      <c r="S215" s="219"/>
    </row>
    <row r="216" spans="3:19" ht="20.25" hidden="1" customHeight="1" x14ac:dyDescent="0.25">
      <c r="C216" s="226">
        <f t="shared" si="11"/>
        <v>9.0999999999999998E-2</v>
      </c>
      <c r="D216" s="226">
        <f t="shared" si="12"/>
        <v>3.3149677206589794</v>
      </c>
      <c r="E216" s="226">
        <f t="shared" si="10"/>
        <v>6.1997208226144558</v>
      </c>
      <c r="F216" s="226">
        <f t="shared" si="9"/>
        <v>2.8849999999999998</v>
      </c>
      <c r="G216" s="167"/>
      <c r="H216" s="167"/>
      <c r="I216" s="172"/>
      <c r="J216" s="226"/>
      <c r="K216" s="226"/>
      <c r="L216" s="213"/>
      <c r="M216" s="172"/>
      <c r="N216" s="172"/>
      <c r="P216" s="172"/>
      <c r="Q216" s="219"/>
      <c r="R216" s="219"/>
      <c r="S216" s="219"/>
    </row>
    <row r="217" spans="3:19" ht="20.25" hidden="1" customHeight="1" x14ac:dyDescent="0.25">
      <c r="C217" s="226">
        <f t="shared" si="11"/>
        <v>9.0499999999999997E-2</v>
      </c>
      <c r="D217" s="226">
        <f t="shared" si="12"/>
        <v>3.3241124765726684</v>
      </c>
      <c r="E217" s="226">
        <f t="shared" si="10"/>
        <v>6.1993091154431461</v>
      </c>
      <c r="F217" s="226">
        <f t="shared" si="9"/>
        <v>2.875</v>
      </c>
      <c r="G217" s="167"/>
      <c r="H217" s="167"/>
      <c r="I217" s="172"/>
      <c r="J217" s="226"/>
      <c r="K217" s="226"/>
      <c r="L217" s="213"/>
      <c r="M217" s="172"/>
      <c r="N217" s="172"/>
      <c r="P217" s="172"/>
      <c r="Q217" s="219"/>
      <c r="R217" s="219"/>
      <c r="S217" s="219"/>
    </row>
    <row r="218" spans="3:19" ht="20.25" hidden="1" customHeight="1" x14ac:dyDescent="0.25">
      <c r="C218" s="226">
        <f t="shared" si="11"/>
        <v>0.09</v>
      </c>
      <c r="D218" s="226">
        <f t="shared" si="12"/>
        <v>3.3333333333333335</v>
      </c>
      <c r="E218" s="226">
        <f t="shared" si="10"/>
        <v>6.1988941796222239</v>
      </c>
      <c r="F218" s="226">
        <f t="shared" si="9"/>
        <v>2.8660000000000001</v>
      </c>
      <c r="G218" s="167"/>
      <c r="H218" s="167"/>
      <c r="I218" s="172"/>
      <c r="J218" s="226"/>
      <c r="K218" s="226"/>
      <c r="L218" s="213"/>
      <c r="M218" s="172"/>
      <c r="N218" s="172"/>
      <c r="P218" s="172"/>
      <c r="Q218" s="219"/>
      <c r="R218" s="219"/>
      <c r="S218" s="219"/>
    </row>
    <row r="219" spans="3:19" ht="20.25" hidden="1" customHeight="1" x14ac:dyDescent="0.25">
      <c r="C219" s="226">
        <f t="shared" si="11"/>
        <v>8.9499999999999996E-2</v>
      </c>
      <c r="D219" s="226">
        <f t="shared" si="12"/>
        <v>3.342631352324378</v>
      </c>
      <c r="E219" s="226">
        <f t="shared" si="10"/>
        <v>6.1984759721425391</v>
      </c>
      <c r="F219" s="226">
        <f t="shared" si="9"/>
        <v>2.8559999999999999</v>
      </c>
      <c r="G219" s="167"/>
      <c r="H219" s="167"/>
      <c r="I219" s="172"/>
      <c r="J219" s="226"/>
      <c r="K219" s="226"/>
      <c r="L219" s="213"/>
      <c r="M219" s="172"/>
      <c r="N219" s="172"/>
      <c r="P219" s="172"/>
      <c r="Q219" s="219"/>
      <c r="R219" s="219"/>
      <c r="S219" s="219"/>
    </row>
    <row r="220" spans="3:19" ht="20.25" hidden="1" customHeight="1" x14ac:dyDescent="0.25">
      <c r="C220" s="226">
        <f t="shared" si="11"/>
        <v>8.8999999999999996E-2</v>
      </c>
      <c r="D220" s="226">
        <f t="shared" si="12"/>
        <v>3.3520076157699545</v>
      </c>
      <c r="E220" s="226">
        <f t="shared" si="10"/>
        <v>6.1980544491821705</v>
      </c>
      <c r="F220" s="226">
        <f t="shared" si="9"/>
        <v>2.8460000000000001</v>
      </c>
      <c r="G220" s="167"/>
      <c r="H220" s="167"/>
      <c r="I220" s="172"/>
      <c r="J220" s="226"/>
      <c r="K220" s="226"/>
      <c r="L220" s="213"/>
      <c r="M220" s="172"/>
      <c r="N220" s="172"/>
      <c r="P220" s="172"/>
      <c r="Q220" s="219"/>
      <c r="R220" s="219"/>
      <c r="S220" s="219"/>
    </row>
    <row r="221" spans="3:19" ht="20.25" hidden="1" customHeight="1" x14ac:dyDescent="0.25">
      <c r="C221" s="226">
        <f t="shared" si="11"/>
        <v>8.8499999999999995E-2</v>
      </c>
      <c r="D221" s="226">
        <f t="shared" si="12"/>
        <v>3.3614632272640721</v>
      </c>
      <c r="E221" s="226">
        <f t="shared" si="10"/>
        <v>6.1976295660864569</v>
      </c>
      <c r="F221" s="226">
        <f t="shared" si="9"/>
        <v>2.8359999999999999</v>
      </c>
      <c r="G221" s="167"/>
      <c r="H221" s="167"/>
      <c r="I221" s="172"/>
      <c r="J221" s="226"/>
      <c r="K221" s="226"/>
      <c r="L221" s="213"/>
      <c r="M221" s="172"/>
      <c r="N221" s="172"/>
      <c r="P221" s="172"/>
      <c r="Q221" s="219"/>
      <c r="R221" s="219"/>
      <c r="S221" s="219"/>
    </row>
    <row r="222" spans="3:19" ht="20.25" hidden="1" customHeight="1" x14ac:dyDescent="0.25">
      <c r="C222" s="226">
        <f t="shared" si="11"/>
        <v>8.7999999999999995E-2</v>
      </c>
      <c r="D222" s="226">
        <f t="shared" si="12"/>
        <v>3.3709993123162105</v>
      </c>
      <c r="E222" s="226">
        <f t="shared" si="10"/>
        <v>6.1972012773474399</v>
      </c>
      <c r="F222" s="226">
        <f t="shared" si="9"/>
        <v>2.8260000000000001</v>
      </c>
      <c r="G222" s="167"/>
      <c r="H222" s="167"/>
      <c r="I222" s="172"/>
      <c r="J222" s="226"/>
      <c r="K222" s="226"/>
      <c r="L222" s="213"/>
      <c r="M222" s="172"/>
      <c r="N222" s="172"/>
      <c r="P222" s="213"/>
      <c r="Q222" s="219"/>
      <c r="R222" s="219"/>
      <c r="S222" s="219"/>
    </row>
    <row r="223" spans="3:19" ht="20.25" hidden="1" customHeight="1" x14ac:dyDescent="0.25">
      <c r="C223" s="226">
        <f t="shared" si="11"/>
        <v>8.7499999999999994E-2</v>
      </c>
      <c r="D223" s="226">
        <f t="shared" si="12"/>
        <v>3.3806170189140663</v>
      </c>
      <c r="E223" s="226">
        <f t="shared" si="10"/>
        <v>6.1967695365826669</v>
      </c>
      <c r="F223" s="226">
        <f t="shared" si="9"/>
        <v>2.8159999999999998</v>
      </c>
      <c r="G223" s="167"/>
      <c r="H223" s="167"/>
      <c r="I223" s="172"/>
      <c r="J223" s="226"/>
      <c r="K223" s="226"/>
      <c r="L223" s="213"/>
      <c r="M223" s="172"/>
      <c r="N223" s="172"/>
      <c r="P223" s="213"/>
      <c r="Q223" s="219"/>
      <c r="R223" s="219"/>
      <c r="S223" s="219"/>
    </row>
    <row r="224" spans="3:19" ht="20.25" hidden="1" customHeight="1" x14ac:dyDescent="0.25">
      <c r="C224" s="226">
        <f t="shared" si="11"/>
        <v>8.6999999999999994E-2</v>
      </c>
      <c r="D224" s="226">
        <f t="shared" si="12"/>
        <v>3.3903175181040521</v>
      </c>
      <c r="E224" s="226">
        <f t="shared" si="10"/>
        <v>6.1963342965133563</v>
      </c>
      <c r="F224" s="226">
        <f t="shared" si="9"/>
        <v>2.806</v>
      </c>
      <c r="G224" s="167"/>
      <c r="H224" s="167"/>
      <c r="I224" s="172"/>
      <c r="J224" s="226"/>
      <c r="K224" s="226"/>
      <c r="L224" s="213"/>
      <c r="M224" s="172"/>
      <c r="N224" s="172"/>
      <c r="P224" s="213"/>
      <c r="Q224" s="219"/>
      <c r="R224" s="219"/>
      <c r="S224" s="219"/>
    </row>
    <row r="225" spans="3:19" ht="20.25" hidden="1" customHeight="1" x14ac:dyDescent="0.25">
      <c r="C225" s="226">
        <f t="shared" si="11"/>
        <v>8.6499999999999994E-2</v>
      </c>
      <c r="D225" s="226">
        <f t="shared" si="12"/>
        <v>3.4001020045902295</v>
      </c>
      <c r="E225" s="226">
        <f t="shared" si="10"/>
        <v>6.195895508941879</v>
      </c>
      <c r="F225" s="226">
        <f t="shared" si="9"/>
        <v>2.7959999999999998</v>
      </c>
      <c r="G225" s="167"/>
      <c r="H225" s="167"/>
      <c r="I225" s="172"/>
      <c r="J225" s="226"/>
      <c r="K225" s="226"/>
      <c r="L225" s="213"/>
      <c r="M225" s="172"/>
      <c r="N225" s="172"/>
      <c r="P225" s="213"/>
      <c r="Q225" s="219"/>
      <c r="R225" s="219"/>
      <c r="S225" s="219"/>
    </row>
    <row r="226" spans="3:19" ht="20.25" hidden="1" customHeight="1" x14ac:dyDescent="0.25">
      <c r="C226" s="226">
        <f t="shared" si="11"/>
        <v>8.5999999999999993E-2</v>
      </c>
      <c r="D226" s="226">
        <f t="shared" si="12"/>
        <v>3.4099716973523679</v>
      </c>
      <c r="E226" s="226">
        <f t="shared" si="10"/>
        <v>6.1954531247285525</v>
      </c>
      <c r="F226" s="226">
        <f t="shared" si="9"/>
        <v>2.7850000000000001</v>
      </c>
      <c r="G226" s="167"/>
      <c r="H226" s="167"/>
      <c r="I226" s="172"/>
      <c r="J226" s="226"/>
      <c r="K226" s="226"/>
      <c r="L226" s="213"/>
      <c r="M226" s="172"/>
      <c r="N226" s="172"/>
      <c r="P226" s="213"/>
      <c r="Q226" s="219"/>
      <c r="R226" s="219"/>
      <c r="S226" s="219"/>
    </row>
    <row r="227" spans="3:19" ht="20.25" hidden="1" customHeight="1" x14ac:dyDescent="0.25">
      <c r="C227" s="226">
        <f t="shared" si="11"/>
        <v>8.5499999999999993E-2</v>
      </c>
      <c r="D227" s="226">
        <f t="shared" si="12"/>
        <v>3.4199278402838469</v>
      </c>
      <c r="E227" s="226">
        <f t="shared" si="10"/>
        <v>6.1950070937677006</v>
      </c>
      <c r="F227" s="226">
        <f t="shared" si="9"/>
        <v>2.7749999999999999</v>
      </c>
      <c r="G227" s="167"/>
      <c r="H227" s="167"/>
      <c r="I227" s="172"/>
      <c r="J227" s="226"/>
      <c r="K227" s="226"/>
      <c r="L227" s="213"/>
      <c r="M227" s="172"/>
      <c r="N227" s="172"/>
      <c r="O227" s="213"/>
      <c r="P227" s="213"/>
      <c r="Q227" s="219"/>
    </row>
    <row r="228" spans="3:19" ht="20.25" hidden="1" customHeight="1" x14ac:dyDescent="0.25">
      <c r="C228" s="226">
        <f t="shared" si="11"/>
        <v>8.4999999999999992E-2</v>
      </c>
      <c r="D228" s="226">
        <f t="shared" si="12"/>
        <v>3.4299717028501773</v>
      </c>
      <c r="E228" s="226">
        <f t="shared" si="10"/>
        <v>6.194557364962975</v>
      </c>
      <c r="F228" s="226">
        <f t="shared" si="9"/>
        <v>2.7650000000000001</v>
      </c>
      <c r="G228" s="167"/>
      <c r="H228" s="167"/>
      <c r="I228" s="172"/>
      <c r="J228" s="226"/>
      <c r="K228" s="226"/>
      <c r="L228" s="213"/>
      <c r="M228" s="172"/>
      <c r="N228" s="172"/>
      <c r="O228" s="213"/>
      <c r="P228" s="213"/>
      <c r="Q228" s="219"/>
    </row>
    <row r="229" spans="3:19" ht="20.25" hidden="1" customHeight="1" x14ac:dyDescent="0.25">
      <c r="C229" s="226">
        <f t="shared" si="11"/>
        <v>8.4499999999999992E-2</v>
      </c>
      <c r="D229" s="226">
        <f t="shared" si="12"/>
        <v>3.440104580768907</v>
      </c>
      <c r="E229" s="226">
        <f t="shared" si="10"/>
        <v>6.1941038862018862</v>
      </c>
      <c r="F229" s="226">
        <f t="shared" si="9"/>
        <v>2.754</v>
      </c>
      <c r="G229" s="167"/>
      <c r="H229" s="167"/>
      <c r="I229" s="167"/>
      <c r="J229" s="213"/>
      <c r="K229" s="213"/>
      <c r="L229" s="213"/>
      <c r="M229" s="213"/>
      <c r="N229" s="213"/>
      <c r="O229" s="213"/>
      <c r="P229" s="213"/>
      <c r="Q229" s="213"/>
    </row>
    <row r="230" spans="3:19" ht="20.25" hidden="1" customHeight="1" x14ac:dyDescent="0.25">
      <c r="C230" s="226">
        <f t="shared" si="11"/>
        <v>8.3999999999999991E-2</v>
      </c>
      <c r="D230" s="226">
        <f t="shared" si="12"/>
        <v>3.4503277967117714</v>
      </c>
      <c r="E230" s="226">
        <f t="shared" si="10"/>
        <v>6.1936466043295386</v>
      </c>
      <c r="F230" s="226">
        <f t="shared" si="9"/>
        <v>2.7429999999999999</v>
      </c>
      <c r="G230" s="167"/>
      <c r="H230" s="167"/>
      <c r="I230" s="167"/>
      <c r="J230" s="167"/>
      <c r="K230" s="167"/>
      <c r="L230" s="167"/>
    </row>
    <row r="231" spans="3:19" ht="20.25" hidden="1" customHeight="1" x14ac:dyDescent="0.25">
      <c r="C231" s="226">
        <f t="shared" si="11"/>
        <v>8.3499999999999991E-2</v>
      </c>
      <c r="D231" s="226">
        <f t="shared" si="12"/>
        <v>3.4606427010299137</v>
      </c>
      <c r="E231" s="226">
        <f t="shared" si="10"/>
        <v>6.1931854651215144</v>
      </c>
      <c r="F231" s="226">
        <f t="shared" si="9"/>
        <v>2.7330000000000001</v>
      </c>
      <c r="G231" s="167"/>
      <c r="H231" s="167"/>
      <c r="I231" s="219" t="s">
        <v>240</v>
      </c>
      <c r="J231" s="213"/>
      <c r="K231" s="167"/>
      <c r="L231" s="216"/>
      <c r="M231" s="216"/>
    </row>
    <row r="232" spans="3:19" ht="20.25" hidden="1" customHeight="1" x14ac:dyDescent="0.25">
      <c r="C232" s="226">
        <f t="shared" si="11"/>
        <v>8.299999999999999E-2</v>
      </c>
      <c r="D232" s="226">
        <f t="shared" si="12"/>
        <v>3.4710506725031167</v>
      </c>
      <c r="E232" s="226">
        <f t="shared" si="10"/>
        <v>6.1927204132559002</v>
      </c>
      <c r="F232" s="226">
        <f t="shared" si="9"/>
        <v>2.722</v>
      </c>
      <c r="G232" s="167"/>
      <c r="H232" s="167"/>
      <c r="I232" s="227" t="s">
        <v>201</v>
      </c>
      <c r="J232" s="227" t="s">
        <v>233</v>
      </c>
      <c r="K232" s="167"/>
      <c r="L232" s="216"/>
      <c r="M232" s="216"/>
    </row>
    <row r="233" spans="3:19" ht="20.25" hidden="1" customHeight="1" x14ac:dyDescent="0.25">
      <c r="C233" s="226">
        <f t="shared" si="11"/>
        <v>8.249999999999999E-2</v>
      </c>
      <c r="D233" s="226">
        <f t="shared" si="12"/>
        <v>3.4815531191139568</v>
      </c>
      <c r="E233" s="226">
        <f t="shared" si="10"/>
        <v>6.192251392284402</v>
      </c>
      <c r="F233" s="226">
        <f t="shared" si="9"/>
        <v>2.7109999999999999</v>
      </c>
      <c r="G233" s="167"/>
      <c r="H233" s="167"/>
      <c r="I233" s="227">
        <f>I5</f>
        <v>23</v>
      </c>
      <c r="J233" s="220">
        <f>L69</f>
        <v>7.0310932621891657</v>
      </c>
      <c r="K233" s="167"/>
      <c r="L233" s="216"/>
      <c r="M233" s="216"/>
    </row>
    <row r="234" spans="3:19" ht="20.25" hidden="1" customHeight="1" x14ac:dyDescent="0.25">
      <c r="C234" s="226">
        <f t="shared" si="11"/>
        <v>8.199999999999999E-2</v>
      </c>
      <c r="D234" s="226">
        <f t="shared" si="12"/>
        <v>3.4921514788478909</v>
      </c>
      <c r="E234" s="226">
        <f t="shared" si="10"/>
        <v>6.1917783446025263</v>
      </c>
      <c r="F234" s="226">
        <f t="shared" si="9"/>
        <v>2.7</v>
      </c>
      <c r="G234" s="167"/>
      <c r="H234" s="167"/>
      <c r="I234" s="167"/>
      <c r="J234" s="167"/>
      <c r="K234" s="167"/>
      <c r="L234" s="167"/>
    </row>
    <row r="235" spans="3:19" ht="20.25" hidden="1" customHeight="1" x14ac:dyDescent="0.25">
      <c r="C235" s="226">
        <f t="shared" si="11"/>
        <v>8.1499999999999989E-2</v>
      </c>
      <c r="D235" s="226">
        <f t="shared" si="12"/>
        <v>3.5028472205202941</v>
      </c>
      <c r="E235" s="226">
        <f t="shared" si="10"/>
        <v>6.1913012114187813</v>
      </c>
      <c r="F235" s="226">
        <f t="shared" si="9"/>
        <v>2.6880000000000002</v>
      </c>
      <c r="G235" s="167"/>
      <c r="H235" s="167"/>
      <c r="I235" s="167"/>
      <c r="J235" s="167"/>
      <c r="K235" s="167"/>
      <c r="L235" s="167"/>
    </row>
    <row r="236" spans="3:19" ht="20.25" hidden="1" customHeight="1" x14ac:dyDescent="0.25">
      <c r="C236" s="226">
        <f t="shared" si="11"/>
        <v>8.0999999999999989E-2</v>
      </c>
      <c r="D236" s="226">
        <f t="shared" si="12"/>
        <v>3.513641844631533</v>
      </c>
      <c r="E236" s="226">
        <f t="shared" si="10"/>
        <v>6.1908199327228717</v>
      </c>
      <c r="F236" s="226">
        <f t="shared" si="9"/>
        <v>2.677</v>
      </c>
      <c r="G236" s="167"/>
      <c r="H236" s="167"/>
      <c r="I236" s="167"/>
      <c r="J236" s="167"/>
      <c r="K236" s="167"/>
      <c r="L236" s="167"/>
    </row>
    <row r="237" spans="3:19" ht="20.25" hidden="1" customHeight="1" x14ac:dyDescent="0.25">
      <c r="C237" s="226">
        <f t="shared" si="11"/>
        <v>8.0499999999999988E-2</v>
      </c>
      <c r="D237" s="226">
        <f t="shared" si="12"/>
        <v>3.5245368842512068</v>
      </c>
      <c r="E237" s="226">
        <f t="shared" si="10"/>
        <v>6.1903344472528401</v>
      </c>
      <c r="F237" s="226">
        <f t="shared" si="9"/>
        <v>2.6659999999999999</v>
      </c>
      <c r="G237" s="167"/>
      <c r="H237" s="167"/>
      <c r="I237" s="167"/>
      <c r="J237" s="167"/>
      <c r="K237" s="167"/>
      <c r="L237" s="167"/>
    </row>
    <row r="238" spans="3:19" hidden="1" x14ac:dyDescent="0.25">
      <c r="C238" s="226">
        <f t="shared" si="11"/>
        <v>7.9999999999999988E-2</v>
      </c>
      <c r="D238" s="226">
        <f t="shared" si="12"/>
        <v>3.5355339059327378</v>
      </c>
      <c r="E238" s="226">
        <f t="shared" si="10"/>
        <v>6.1898446924611097</v>
      </c>
      <c r="F238" s="226">
        <f t="shared" si="9"/>
        <v>2.6539999999999999</v>
      </c>
      <c r="I238" s="228"/>
      <c r="J238" s="228"/>
      <c r="K238" s="228"/>
      <c r="L238" s="228"/>
    </row>
    <row r="239" spans="3:19" hidden="1" x14ac:dyDescent="0.25">
      <c r="C239" s="226">
        <f t="shared" si="11"/>
        <v>7.9499999999999987E-2</v>
      </c>
      <c r="D239" s="226">
        <f t="shared" si="12"/>
        <v>3.5466345106595432</v>
      </c>
      <c r="E239" s="226">
        <f t="shared" si="10"/>
        <v>6.1893506044793973</v>
      </c>
      <c r="F239" s="226">
        <f t="shared" si="9"/>
        <v>2.6429999999999998</v>
      </c>
      <c r="I239" s="228"/>
      <c r="J239" s="228"/>
      <c r="K239" s="228"/>
      <c r="L239" s="228"/>
    </row>
    <row r="240" spans="3:19" hidden="1" x14ac:dyDescent="0.25">
      <c r="C240" s="226">
        <f t="shared" si="11"/>
        <v>7.8999999999999987E-2</v>
      </c>
      <c r="D240" s="226">
        <f t="shared" si="12"/>
        <v>3.5578403348241006</v>
      </c>
      <c r="E240" s="226">
        <f t="shared" si="10"/>
        <v>6.1888521180824378</v>
      </c>
      <c r="F240" s="226">
        <f t="shared" si="9"/>
        <v>2.6309999999999998</v>
      </c>
      <c r="I240" s="228"/>
      <c r="J240" s="228"/>
      <c r="K240" s="228"/>
      <c r="L240" s="228"/>
    </row>
    <row r="241" spans="3:12" hidden="1" x14ac:dyDescent="0.25">
      <c r="C241" s="226">
        <f t="shared" si="11"/>
        <v>7.8499999999999986E-2</v>
      </c>
      <c r="D241" s="226">
        <f t="shared" si="12"/>
        <v>3.5691530512412486</v>
      </c>
      <c r="E241" s="226">
        <f t="shared" si="10"/>
        <v>6.1883491666504815</v>
      </c>
      <c r="F241" s="226">
        <f t="shared" si="9"/>
        <v>2.6190000000000002</v>
      </c>
      <c r="I241" s="228"/>
      <c r="J241" s="228"/>
      <c r="K241" s="228"/>
      <c r="L241" s="228"/>
    </row>
    <row r="242" spans="3:12" hidden="1" x14ac:dyDescent="0.25">
      <c r="C242" s="226">
        <f t="shared" si="11"/>
        <v>7.7999999999999986E-2</v>
      </c>
      <c r="D242" s="226">
        <f t="shared" si="12"/>
        <v>3.5805743701971644</v>
      </c>
      <c r="E242" s="226">
        <f t="shared" si="10"/>
        <v>6.18784168213051</v>
      </c>
      <c r="F242" s="226">
        <f t="shared" si="9"/>
        <v>2.6070000000000002</v>
      </c>
    </row>
    <row r="243" spans="3:12" hidden="1" x14ac:dyDescent="0.25">
      <c r="C243" s="226">
        <f t="shared" si="11"/>
        <v>7.7499999999999986E-2</v>
      </c>
      <c r="D243" s="226">
        <f t="shared" si="12"/>
        <v>3.5921060405354988</v>
      </c>
      <c r="E243" s="226">
        <f t="shared" si="10"/>
        <v>6.1873295949961244</v>
      </c>
      <c r="F243" s="226">
        <f t="shared" si="9"/>
        <v>2.5950000000000002</v>
      </c>
    </row>
    <row r="244" spans="3:12" hidden="1" x14ac:dyDescent="0.25">
      <c r="C244" s="226">
        <f t="shared" si="11"/>
        <v>7.6999999999999985E-2</v>
      </c>
      <c r="D244" s="226">
        <f t="shared" si="12"/>
        <v>3.6037498507822359</v>
      </c>
      <c r="E244" s="226">
        <f t="shared" si="10"/>
        <v>6.18681283420604</v>
      </c>
      <c r="F244" s="226">
        <f t="shared" si="9"/>
        <v>2.5830000000000002</v>
      </c>
    </row>
    <row r="245" spans="3:12" hidden="1" x14ac:dyDescent="0.25">
      <c r="C245" s="226">
        <f t="shared" si="11"/>
        <v>7.6499999999999985E-2</v>
      </c>
      <c r="D245" s="226">
        <f t="shared" si="12"/>
        <v>3.6155076303109364</v>
      </c>
      <c r="E245" s="226">
        <f t="shared" si="10"/>
        <v>6.1862913271611424</v>
      </c>
      <c r="F245" s="226">
        <f t="shared" si="9"/>
        <v>2.5710000000000002</v>
      </c>
    </row>
    <row r="246" spans="3:12" hidden="1" x14ac:dyDescent="0.25">
      <c r="C246" s="226">
        <f t="shared" si="11"/>
        <v>7.5999999999999984E-2</v>
      </c>
      <c r="D246" s="226">
        <f t="shared" si="12"/>
        <v>3.6273812505500591</v>
      </c>
      <c r="E246" s="226">
        <f t="shared" si="10"/>
        <v>6.1857649996600417</v>
      </c>
      <c r="F246" s="226">
        <f t="shared" si="9"/>
        <v>2.5579999999999998</v>
      </c>
    </row>
    <row r="247" spans="3:12" hidden="1" x14ac:dyDescent="0.25">
      <c r="C247" s="226">
        <f t="shared" si="11"/>
        <v>7.5499999999999984E-2</v>
      </c>
      <c r="D247" s="226">
        <f t="shared" si="12"/>
        <v>3.6393726262341954</v>
      </c>
      <c r="E247" s="226">
        <f t="shared" si="10"/>
        <v>6.1852337758530505</v>
      </c>
      <c r="F247" s="226">
        <f t="shared" si="9"/>
        <v>2.5459999999999998</v>
      </c>
    </row>
    <row r="248" spans="3:12" hidden="1" x14ac:dyDescent="0.25">
      <c r="C248" s="226">
        <f t="shared" si="11"/>
        <v>7.4999999999999983E-2</v>
      </c>
      <c r="D248" s="226">
        <f t="shared" si="12"/>
        <v>3.6514837167011076</v>
      </c>
      <c r="E248" s="226">
        <f t="shared" si="10"/>
        <v>6.1846975781945455</v>
      </c>
      <c r="F248" s="226">
        <f t="shared" si="9"/>
        <v>2.5329999999999999</v>
      </c>
    </row>
    <row r="249" spans="3:12" hidden="1" x14ac:dyDescent="0.25">
      <c r="C249" s="226">
        <f t="shared" si="11"/>
        <v>7.4499999999999983E-2</v>
      </c>
      <c r="D249" s="226">
        <f t="shared" si="12"/>
        <v>3.6637165272365588</v>
      </c>
      <c r="E249" s="226">
        <f t="shared" si="10"/>
        <v>6.1841563273936098</v>
      </c>
      <c r="F249" s="226">
        <f t="shared" si="9"/>
        <v>2.52</v>
      </c>
    </row>
    <row r="250" spans="3:12" hidden="1" x14ac:dyDescent="0.25">
      <c r="C250" s="226">
        <f t="shared" si="11"/>
        <v>7.3999999999999982E-2</v>
      </c>
      <c r="D250" s="226">
        <f t="shared" si="12"/>
        <v>3.6760731104690394</v>
      </c>
      <c r="E250" s="226">
        <f t="shared" si="10"/>
        <v>6.1836099423629181</v>
      </c>
      <c r="F250" s="226">
        <f t="shared" si="9"/>
        <v>2.508</v>
      </c>
    </row>
    <row r="251" spans="3:12" hidden="1" x14ac:dyDescent="0.25">
      <c r="C251" s="226">
        <f t="shared" si="11"/>
        <v>7.3499999999999982E-2</v>
      </c>
      <c r="D251" s="226">
        <f t="shared" si="12"/>
        <v>3.688555567816588</v>
      </c>
      <c r="E251" s="226">
        <f t="shared" si="10"/>
        <v>6.1830583401657577</v>
      </c>
      <c r="F251" s="226">
        <f t="shared" si="9"/>
        <v>2.4950000000000001</v>
      </c>
    </row>
    <row r="252" spans="3:12" hidden="1" x14ac:dyDescent="0.25">
      <c r="C252" s="226">
        <f t="shared" si="11"/>
        <v>7.2999999999999982E-2</v>
      </c>
      <c r="D252" s="226">
        <f t="shared" si="12"/>
        <v>3.7011660509880269</v>
      </c>
      <c r="E252" s="226">
        <f t="shared" si="10"/>
        <v>6.1825014359611323</v>
      </c>
      <c r="F252" s="226">
        <f t="shared" si="9"/>
        <v>2.4809999999999999</v>
      </c>
    </row>
    <row r="253" spans="3:12" hidden="1" x14ac:dyDescent="0.25">
      <c r="C253" s="226">
        <f t="shared" si="11"/>
        <v>7.2499999999999981E-2</v>
      </c>
      <c r="D253" s="226">
        <f t="shared" si="12"/>
        <v>3.7139067635410377</v>
      </c>
      <c r="E253" s="226">
        <f t="shared" si="10"/>
        <v>6.1819391429468418</v>
      </c>
      <c r="F253" s="226">
        <f t="shared" si="9"/>
        <v>2.468</v>
      </c>
    </row>
    <row r="254" spans="3:12" hidden="1" x14ac:dyDescent="0.25">
      <c r="C254" s="226">
        <f t="shared" si="11"/>
        <v>7.1999999999999981E-2</v>
      </c>
      <c r="D254" s="226">
        <f t="shared" si="12"/>
        <v>3.7267799624996503</v>
      </c>
      <c r="E254" s="226">
        <f t="shared" si="10"/>
        <v>6.1813713723004646</v>
      </c>
      <c r="F254" s="226">
        <f t="shared" si="9"/>
        <v>2.4550000000000001</v>
      </c>
    </row>
    <row r="255" spans="3:12" hidden="1" x14ac:dyDescent="0.25">
      <c r="C255" s="226">
        <f t="shared" si="11"/>
        <v>7.149999999999998E-2</v>
      </c>
      <c r="D255" s="226">
        <f t="shared" si="12"/>
        <v>3.7397879600338291</v>
      </c>
      <c r="E255" s="226">
        <f t="shared" si="10"/>
        <v>6.1807980331181476</v>
      </c>
      <c r="F255" s="226">
        <f t="shared" si="9"/>
        <v>2.4409999999999998</v>
      </c>
    </row>
    <row r="256" spans="3:12" hidden="1" x14ac:dyDescent="0.25">
      <c r="C256" s="226">
        <f t="shared" si="11"/>
        <v>7.099999999999998E-2</v>
      </c>
      <c r="D256" s="226">
        <f t="shared" si="12"/>
        <v>3.7529331252040081</v>
      </c>
      <c r="E256" s="226">
        <f t="shared" si="10"/>
        <v>6.1802190323510988</v>
      </c>
      <c r="F256" s="226">
        <f t="shared" si="9"/>
        <v>2.427</v>
      </c>
    </row>
    <row r="257" spans="3:6" hidden="1" x14ac:dyDescent="0.25">
      <c r="C257" s="226">
        <f t="shared" si="11"/>
        <v>7.0499999999999979E-2</v>
      </c>
      <c r="D257" s="226">
        <f t="shared" si="12"/>
        <v>3.766217885773548</v>
      </c>
      <c r="E257" s="226">
        <f t="shared" si="10"/>
        <v>6.1796342747396942</v>
      </c>
      <c r="F257" s="226">
        <f t="shared" si="9"/>
        <v>2.4129999999999998</v>
      </c>
    </row>
    <row r="258" spans="3:6" hidden="1" x14ac:dyDescent="0.25">
      <c r="C258" s="226">
        <f t="shared" si="11"/>
        <v>6.9999999999999979E-2</v>
      </c>
      <c r="D258" s="226">
        <f t="shared" si="12"/>
        <v>3.7796447300922726</v>
      </c>
      <c r="E258" s="226">
        <f t="shared" si="10"/>
        <v>6.1790436627450678</v>
      </c>
      <c r="F258" s="226">
        <f t="shared" si="9"/>
        <v>2.399</v>
      </c>
    </row>
    <row r="259" spans="3:6" hidden="1" x14ac:dyDescent="0.25">
      <c r="C259" s="226">
        <f t="shared" si="11"/>
        <v>6.9499999999999978E-2</v>
      </c>
      <c r="D259" s="226">
        <f t="shared" si="12"/>
        <v>3.7932162090544086</v>
      </c>
      <c r="E259" s="226">
        <f t="shared" si="10"/>
        <v>6.1784470964781031</v>
      </c>
      <c r="F259" s="226">
        <f t="shared" si="9"/>
        <v>2.3849999999999998</v>
      </c>
    </row>
    <row r="260" spans="3:6" hidden="1" x14ac:dyDescent="0.25">
      <c r="C260" s="226">
        <f t="shared" si="11"/>
        <v>6.8999999999999978E-2</v>
      </c>
      <c r="D260" s="226">
        <f t="shared" si="12"/>
        <v>3.8069349381344053</v>
      </c>
      <c r="E260" s="226">
        <f t="shared" si="10"/>
        <v>6.1778444736256786</v>
      </c>
      <c r="F260" s="226">
        <f t="shared" si="9"/>
        <v>2.371</v>
      </c>
    </row>
    <row r="261" spans="3:6" hidden="1" x14ac:dyDescent="0.25">
      <c r="C261" s="226">
        <f t="shared" si="11"/>
        <v>6.8499999999999978E-2</v>
      </c>
      <c r="D261" s="226">
        <f t="shared" si="12"/>
        <v>3.8208035995043517</v>
      </c>
      <c r="E261" s="226">
        <f t="shared" si="10"/>
        <v>6.1772356893740543</v>
      </c>
      <c r="F261" s="226">
        <f t="shared" si="9"/>
        <v>2.3559999999999999</v>
      </c>
    </row>
    <row r="262" spans="3:6" hidden="1" x14ac:dyDescent="0.25">
      <c r="C262" s="226">
        <f t="shared" si="11"/>
        <v>6.7999999999999977E-2</v>
      </c>
      <c r="D262" s="226">
        <f t="shared" si="12"/>
        <v>3.8348249442368525</v>
      </c>
      <c r="E262" s="226">
        <f t="shared" si="10"/>
        <v>6.1766206363292691</v>
      </c>
      <c r="F262" s="226">
        <f t="shared" ref="F262:F325" si="13">ROUND(ABS(D262-E262),3)</f>
        <v>2.3420000000000001</v>
      </c>
    </row>
    <row r="263" spans="3:6" hidden="1" x14ac:dyDescent="0.25">
      <c r="C263" s="226">
        <f t="shared" si="11"/>
        <v>6.7499999999999977E-2</v>
      </c>
      <c r="D263" s="226">
        <f t="shared" si="12"/>
        <v>3.8490017945975055</v>
      </c>
      <c r="E263" s="226">
        <f t="shared" ref="E263:E326" si="14">-2*LOG10(((2.51/($D$194*SQRT(C263)))+(0.269*$G$194)))</f>
        <v>6.1759992044343965</v>
      </c>
      <c r="F263" s="226">
        <f t="shared" si="13"/>
        <v>2.327</v>
      </c>
    </row>
    <row r="264" spans="3:6" hidden="1" x14ac:dyDescent="0.25">
      <c r="C264" s="226">
        <f t="shared" ref="C264:C327" si="15">C263-0.0005</f>
        <v>6.6999999999999976E-2</v>
      </c>
      <c r="D264" s="226">
        <f t="shared" ref="D264:D327" si="16">1/SQRT(C264)</f>
        <v>3.8633370464312797</v>
      </c>
      <c r="E264" s="226">
        <f t="shared" si="14"/>
        <v>6.1753712808835335</v>
      </c>
      <c r="F264" s="226">
        <f t="shared" si="13"/>
        <v>2.3119999999999998</v>
      </c>
    </row>
    <row r="265" spans="3:6" hidden="1" x14ac:dyDescent="0.25">
      <c r="C265" s="226">
        <f t="shared" si="15"/>
        <v>6.6499999999999976E-2</v>
      </c>
      <c r="D265" s="226">
        <f t="shared" si="16"/>
        <v>3.8778336716474073</v>
      </c>
      <c r="E265" s="226">
        <f t="shared" si="14"/>
        <v>6.1747367500323378</v>
      </c>
      <c r="F265" s="226">
        <f t="shared" si="13"/>
        <v>2.2970000000000002</v>
      </c>
    </row>
    <row r="266" spans="3:6" hidden="1" x14ac:dyDescent="0.25">
      <c r="C266" s="226">
        <f t="shared" si="15"/>
        <v>6.5999999999999975E-2</v>
      </c>
      <c r="D266" s="226">
        <f t="shared" si="16"/>
        <v>3.892494720807615</v>
      </c>
      <c r="E266" s="226">
        <f t="shared" si="14"/>
        <v>6.1740954933049812</v>
      </c>
      <c r="F266" s="226">
        <f t="shared" si="13"/>
        <v>2.282</v>
      </c>
    </row>
    <row r="267" spans="3:6" hidden="1" x14ac:dyDescent="0.25">
      <c r="C267" s="226">
        <f t="shared" si="15"/>
        <v>6.5499999999999975E-2</v>
      </c>
      <c r="D267" s="226">
        <f t="shared" si="16"/>
        <v>3.9073233258228188</v>
      </c>
      <c r="E267" s="226">
        <f t="shared" si="14"/>
        <v>6.1734473890973165</v>
      </c>
      <c r="F267" s="226">
        <f t="shared" si="13"/>
        <v>2.266</v>
      </c>
    </row>
    <row r="268" spans="3:6" hidden="1" x14ac:dyDescent="0.25">
      <c r="C268" s="226">
        <f t="shared" si="15"/>
        <v>6.4999999999999974E-2</v>
      </c>
      <c r="D268" s="226">
        <f t="shared" si="16"/>
        <v>3.9223227027636813</v>
      </c>
      <c r="E268" s="226">
        <f t="shared" si="14"/>
        <v>6.1727923126761013</v>
      </c>
      <c r="F268" s="226">
        <f t="shared" si="13"/>
        <v>2.25</v>
      </c>
    </row>
    <row r="269" spans="3:6" hidden="1" x14ac:dyDescent="0.25">
      <c r="C269" s="226">
        <f t="shared" si="15"/>
        <v>6.4499999999999974E-2</v>
      </c>
      <c r="D269" s="226">
        <f t="shared" si="16"/>
        <v>3.9374961547907898</v>
      </c>
      <c r="E269" s="226">
        <f t="shared" si="14"/>
        <v>6.1721301360740624</v>
      </c>
      <c r="F269" s="226">
        <f t="shared" si="13"/>
        <v>2.2349999999999999</v>
      </c>
    </row>
    <row r="270" spans="3:6" hidden="1" x14ac:dyDescent="0.25">
      <c r="C270" s="226">
        <f t="shared" si="15"/>
        <v>6.3999999999999974E-2</v>
      </c>
      <c r="D270" s="226">
        <f t="shared" si="16"/>
        <v>3.9528470752104754</v>
      </c>
      <c r="E270" s="226">
        <f t="shared" si="14"/>
        <v>6.1714607279806195</v>
      </c>
      <c r="F270" s="226">
        <f t="shared" si="13"/>
        <v>2.2189999999999999</v>
      </c>
    </row>
    <row r="271" spans="3:6" hidden="1" x14ac:dyDescent="0.25">
      <c r="C271" s="226">
        <f t="shared" si="15"/>
        <v>6.3499999999999973E-2</v>
      </c>
      <c r="D271" s="226">
        <f t="shared" si="16"/>
        <v>3.9683789506627258</v>
      </c>
      <c r="E271" s="226">
        <f t="shared" si="14"/>
        <v>6.1707839536280291</v>
      </c>
      <c r="F271" s="226">
        <f t="shared" si="13"/>
        <v>2.202</v>
      </c>
    </row>
    <row r="272" spans="3:6" hidden="1" x14ac:dyDescent="0.25">
      <c r="C272" s="226">
        <f t="shared" si="15"/>
        <v>6.2999999999999973E-2</v>
      </c>
      <c r="D272" s="226">
        <f t="shared" si="16"/>
        <v>3.9840953644479802</v>
      </c>
      <c r="E272" s="226">
        <f t="shared" si="14"/>
        <v>6.1700996746727421</v>
      </c>
      <c r="F272" s="226">
        <f t="shared" si="13"/>
        <v>2.1859999999999999</v>
      </c>
    </row>
    <row r="273" spans="3:21" hidden="1" x14ac:dyDescent="0.25">
      <c r="C273" s="226">
        <f t="shared" si="15"/>
        <v>6.2499999999999972E-2</v>
      </c>
      <c r="D273" s="226">
        <f t="shared" si="16"/>
        <v>4.0000000000000009</v>
      </c>
      <c r="E273" s="226">
        <f t="shared" si="14"/>
        <v>6.1694077490717181</v>
      </c>
      <c r="F273" s="226">
        <f t="shared" si="13"/>
        <v>2.169</v>
      </c>
    </row>
    <row r="274" spans="3:21" hidden="1" x14ac:dyDescent="0.25">
      <c r="C274" s="226">
        <f t="shared" si="15"/>
        <v>6.1999999999999972E-2</v>
      </c>
      <c r="D274" s="226">
        <f t="shared" si="16"/>
        <v>4.016096644512495</v>
      </c>
      <c r="E274" s="226">
        <f t="shared" si="14"/>
        <v>6.1687080309534501</v>
      </c>
      <c r="F274" s="226">
        <f t="shared" si="13"/>
        <v>2.153</v>
      </c>
    </row>
    <row r="275" spans="3:21" hidden="1" x14ac:dyDescent="0.25">
      <c r="C275" s="226">
        <f t="shared" si="15"/>
        <v>6.1499999999999971E-2</v>
      </c>
      <c r="D275" s="226">
        <f t="shared" si="16"/>
        <v>4.0323891927275604</v>
      </c>
      <c r="E275" s="226">
        <f t="shared" si="14"/>
        <v>6.1680003704834201</v>
      </c>
      <c r="F275" s="226">
        <f t="shared" si="13"/>
        <v>2.1360000000000001</v>
      </c>
    </row>
    <row r="276" spans="3:21" hidden="1" x14ac:dyDescent="0.25">
      <c r="C276" s="226">
        <f t="shared" si="15"/>
        <v>6.0999999999999971E-2</v>
      </c>
      <c r="D276" s="226">
        <f t="shared" si="16"/>
        <v>4.0488816508945806</v>
      </c>
      <c r="E276" s="226">
        <f t="shared" si="14"/>
        <v>6.1672846137237087</v>
      </c>
      <c r="F276" s="226">
        <f t="shared" si="13"/>
        <v>2.1179999999999999</v>
      </c>
    </row>
    <row r="277" spans="3:21" hidden="1" x14ac:dyDescent="0.25">
      <c r="C277" s="226">
        <f t="shared" si="15"/>
        <v>6.049999999999997E-2</v>
      </c>
      <c r="D277" s="226">
        <f t="shared" si="16"/>
        <v>4.0655781409087099</v>
      </c>
      <c r="E277" s="226">
        <f t="shared" si="14"/>
        <v>6.1665606024864497</v>
      </c>
      <c r="F277" s="226">
        <f t="shared" si="13"/>
        <v>2.101</v>
      </c>
    </row>
    <row r="278" spans="3:21" hidden="1" x14ac:dyDescent="0.25">
      <c r="C278" s="226">
        <f t="shared" si="15"/>
        <v>5.999999999999997E-2</v>
      </c>
      <c r="D278" s="226">
        <f t="shared" si="16"/>
        <v>4.0824829046386313</v>
      </c>
      <c r="E278" s="226">
        <f t="shared" si="14"/>
        <v>6.1658281741808034</v>
      </c>
      <c r="F278" s="226">
        <f t="shared" si="13"/>
        <v>2.0830000000000002</v>
      </c>
    </row>
    <row r="279" spans="3:21" hidden="1" x14ac:dyDescent="0.25">
      <c r="C279" s="226">
        <f t="shared" si="15"/>
        <v>5.949999999999997E-2</v>
      </c>
      <c r="D279" s="226">
        <f t="shared" si="16"/>
        <v>4.0996003084539403</v>
      </c>
      <c r="E279" s="226">
        <f t="shared" si="14"/>
        <v>6.1650871616531111</v>
      </c>
      <c r="F279" s="226">
        <f t="shared" si="13"/>
        <v>2.0649999999999999</v>
      </c>
    </row>
    <row r="280" spans="3:21" hidden="1" x14ac:dyDescent="0.25">
      <c r="C280" s="226">
        <f t="shared" si="15"/>
        <v>5.8999999999999969E-2</v>
      </c>
      <c r="D280" s="226">
        <f t="shared" si="16"/>
        <v>4.1169348479630923</v>
      </c>
      <c r="E280" s="226">
        <f t="shared" si="14"/>
        <v>6.1643373930198697</v>
      </c>
      <c r="F280" s="226">
        <f t="shared" si="13"/>
        <v>2.0470000000000002</v>
      </c>
    </row>
    <row r="281" spans="3:21" hidden="1" x14ac:dyDescent="0.25">
      <c r="C281" s="226">
        <f t="shared" si="15"/>
        <v>5.8499999999999969E-2</v>
      </c>
      <c r="D281" s="226">
        <f t="shared" si="16"/>
        <v>4.1344911529736166</v>
      </c>
      <c r="E281" s="226">
        <f t="shared" si="14"/>
        <v>6.1635786914931314</v>
      </c>
      <c r="F281" s="226">
        <f t="shared" si="13"/>
        <v>2.0289999999999999</v>
      </c>
    </row>
    <row r="282" spans="3:21" hidden="1" x14ac:dyDescent="0.25">
      <c r="C282" s="226">
        <f t="shared" si="15"/>
        <v>5.7999999999999968E-2</v>
      </c>
      <c r="D282" s="226">
        <f t="shared" si="16"/>
        <v>4.1522739926869994</v>
      </c>
      <c r="E282" s="226">
        <f t="shared" si="14"/>
        <v>6.1628108751979278</v>
      </c>
      <c r="F282" s="226">
        <f t="shared" si="13"/>
        <v>2.0110000000000001</v>
      </c>
      <c r="G282" s="213"/>
      <c r="H282" s="213"/>
      <c r="I282" s="213"/>
      <c r="J282" s="213"/>
      <c r="K282" s="213"/>
      <c r="L282" s="213"/>
      <c r="M282" s="213"/>
      <c r="N282" s="213"/>
      <c r="O282" s="213"/>
      <c r="P282" s="213"/>
      <c r="Q282" s="213"/>
      <c r="R282" s="213"/>
      <c r="S282" s="213"/>
      <c r="T282" s="213"/>
      <c r="U282" s="213"/>
    </row>
    <row r="283" spans="3:21" hidden="1" x14ac:dyDescent="0.25">
      <c r="C283" s="226">
        <f t="shared" si="15"/>
        <v>5.7499999999999968E-2</v>
      </c>
      <c r="D283" s="226">
        <f t="shared" si="16"/>
        <v>4.170288281141497</v>
      </c>
      <c r="E283" s="226">
        <f t="shared" si="14"/>
        <v>6.1620337569812786</v>
      </c>
      <c r="F283" s="226">
        <f t="shared" si="13"/>
        <v>1.992</v>
      </c>
      <c r="G283" s="213"/>
      <c r="H283" s="213"/>
      <c r="I283" s="213"/>
      <c r="J283" s="213"/>
      <c r="K283" s="213"/>
      <c r="L283" s="213"/>
      <c r="M283" s="213"/>
      <c r="N283" s="213"/>
      <c r="O283" s="213"/>
      <c r="P283" s="213"/>
      <c r="Q283" s="213"/>
      <c r="R283" s="213"/>
      <c r="S283" s="213"/>
      <c r="T283" s="213"/>
      <c r="U283" s="213"/>
    </row>
    <row r="284" spans="3:21" hidden="1" x14ac:dyDescent="0.25">
      <c r="C284" s="226">
        <f t="shared" si="15"/>
        <v>5.6999999999999967E-2</v>
      </c>
      <c r="D284" s="226">
        <f t="shared" si="16"/>
        <v>4.1885390829169564</v>
      </c>
      <c r="E284" s="226">
        <f t="shared" si="14"/>
        <v>6.1612471442123127</v>
      </c>
      <c r="F284" s="226">
        <f t="shared" si="13"/>
        <v>1.9730000000000001</v>
      </c>
      <c r="G284" s="213"/>
      <c r="H284" s="213"/>
      <c r="I284" s="213"/>
      <c r="J284" s="213"/>
      <c r="K284" s="213"/>
      <c r="L284" s="213"/>
      <c r="M284" s="213"/>
      <c r="N284" s="213"/>
      <c r="O284" s="213"/>
      <c r="P284" s="213"/>
      <c r="Q284" s="213"/>
      <c r="R284" s="213"/>
      <c r="S284" s="213"/>
      <c r="T284" s="213"/>
      <c r="U284" s="213"/>
    </row>
    <row r="285" spans="3:21" hidden="1" x14ac:dyDescent="0.25">
      <c r="C285" s="226">
        <f t="shared" si="15"/>
        <v>5.6499999999999967E-2</v>
      </c>
      <c r="D285" s="226">
        <f t="shared" si="16"/>
        <v>4.2070316191167132</v>
      </c>
      <c r="E285" s="226">
        <f t="shared" si="14"/>
        <v>6.1604508385730279</v>
      </c>
      <c r="F285" s="226">
        <f t="shared" si="13"/>
        <v>1.9530000000000001</v>
      </c>
      <c r="G285" s="213"/>
      <c r="H285" s="213"/>
      <c r="I285" s="213"/>
      <c r="J285" s="213"/>
      <c r="K285" s="213"/>
      <c r="L285" s="213"/>
      <c r="M285" s="213"/>
      <c r="N285" s="213"/>
      <c r="O285" s="213"/>
      <c r="P285" s="213"/>
      <c r="Q285" s="213"/>
      <c r="R285" s="213"/>
      <c r="S285" s="213"/>
      <c r="T285" s="213"/>
      <c r="U285" s="213"/>
    </row>
    <row r="286" spans="3:21" hidden="1" x14ac:dyDescent="0.25">
      <c r="C286" s="226">
        <f t="shared" si="15"/>
        <v>5.5999999999999966E-2</v>
      </c>
      <c r="D286" s="226">
        <f t="shared" si="16"/>
        <v>4.2257712736425841</v>
      </c>
      <c r="E286" s="226">
        <f t="shared" si="14"/>
        <v>6.1596446358391415</v>
      </c>
      <c r="F286" s="226">
        <f t="shared" si="13"/>
        <v>1.9339999999999999</v>
      </c>
      <c r="G286" s="213"/>
      <c r="H286" s="213"/>
      <c r="I286" s="213"/>
      <c r="J286" s="213"/>
      <c r="K286" s="213"/>
      <c r="L286" s="213"/>
      <c r="M286" s="213"/>
      <c r="N286" s="213"/>
      <c r="O286" s="213"/>
      <c r="P286" s="213"/>
      <c r="Q286" s="213"/>
      <c r="R286" s="213"/>
      <c r="S286" s="213"/>
      <c r="T286" s="213"/>
      <c r="U286" s="213"/>
    </row>
    <row r="287" spans="3:21" hidden="1" x14ac:dyDescent="0.25">
      <c r="C287" s="226">
        <f t="shared" si="15"/>
        <v>5.5499999999999966E-2</v>
      </c>
      <c r="D287" s="226">
        <f t="shared" si="16"/>
        <v>4.2447635997800903</v>
      </c>
      <c r="E287" s="226">
        <f t="shared" si="14"/>
        <v>6.1588283256504823</v>
      </c>
      <c r="F287" s="226">
        <f t="shared" si="13"/>
        <v>1.9139999999999999</v>
      </c>
      <c r="G287" s="213"/>
      <c r="H287" s="213"/>
      <c r="I287" s="213"/>
      <c r="J287" s="213"/>
      <c r="K287" s="213"/>
      <c r="L287" s="213"/>
      <c r="M287" s="213"/>
      <c r="N287" s="213"/>
      <c r="O287" s="213"/>
      <c r="P287" s="213"/>
      <c r="Q287" s="213"/>
      <c r="R287" s="213"/>
      <c r="S287" s="213"/>
      <c r="T287" s="213"/>
      <c r="U287" s="213"/>
    </row>
    <row r="288" spans="3:21" hidden="1" x14ac:dyDescent="0.25">
      <c r="C288" s="226">
        <f t="shared" si="15"/>
        <v>5.4999999999999966E-2</v>
      </c>
      <c r="D288" s="226">
        <f t="shared" si="16"/>
        <v>4.2640143271122097</v>
      </c>
      <c r="E288" s="226">
        <f t="shared" si="14"/>
        <v>6.1580016912703286</v>
      </c>
      <c r="F288" s="226">
        <f t="shared" si="13"/>
        <v>1.8939999999999999</v>
      </c>
      <c r="G288" s="213"/>
      <c r="H288" s="213"/>
      <c r="I288" s="213"/>
      <c r="J288" s="213"/>
      <c r="K288" s="213"/>
      <c r="L288" s="213"/>
      <c r="M288" s="213"/>
      <c r="N288" s="213"/>
      <c r="O288" s="213"/>
      <c r="P288" s="213"/>
      <c r="Q288" s="213"/>
      <c r="R288" s="213"/>
      <c r="S288" s="213"/>
      <c r="T288" s="213"/>
      <c r="U288" s="213"/>
    </row>
    <row r="289" spans="1:23" hidden="1" x14ac:dyDescent="0.25">
      <c r="C289" s="226">
        <f t="shared" si="15"/>
        <v>5.4499999999999965E-2</v>
      </c>
      <c r="D289" s="226">
        <f t="shared" si="16"/>
        <v>4.2835293687811946</v>
      </c>
      <c r="E289" s="226">
        <f t="shared" si="14"/>
        <v>6.1571645093330494</v>
      </c>
      <c r="F289" s="226">
        <f t="shared" si="13"/>
        <v>1.8740000000000001</v>
      </c>
      <c r="G289" s="213"/>
      <c r="H289" s="213"/>
      <c r="I289" s="213"/>
      <c r="J289" s="213"/>
      <c r="K289" s="213"/>
      <c r="L289" s="213"/>
      <c r="M289" s="213"/>
      <c r="N289" s="213"/>
      <c r="O289" s="213"/>
      <c r="P289" s="213"/>
      <c r="Q289" s="213"/>
      <c r="R289" s="213"/>
      <c r="S289" s="213"/>
      <c r="T289" s="213"/>
      <c r="U289" s="213"/>
    </row>
    <row r="290" spans="1:23" hidden="1" x14ac:dyDescent="0.25">
      <c r="C290" s="226">
        <f t="shared" si="15"/>
        <v>5.3999999999999965E-2</v>
      </c>
      <c r="D290" s="226">
        <f t="shared" si="16"/>
        <v>4.303314829119353</v>
      </c>
      <c r="E290" s="226">
        <f t="shared" si="14"/>
        <v>6.1563165495793708</v>
      </c>
      <c r="F290" s="226">
        <f t="shared" si="13"/>
        <v>1.853</v>
      </c>
      <c r="G290" s="213"/>
      <c r="H290" s="213"/>
      <c r="I290" s="213"/>
      <c r="J290" s="213"/>
      <c r="K290" s="213"/>
      <c r="L290" s="213"/>
      <c r="M290" s="213"/>
      <c r="N290" s="213"/>
      <c r="O290" s="213"/>
      <c r="P290" s="213"/>
      <c r="Q290" s="213"/>
      <c r="R290" s="213"/>
      <c r="S290" s="213"/>
      <c r="T290" s="213"/>
      <c r="U290" s="213"/>
    </row>
    <row r="291" spans="1:23" hidden="1" x14ac:dyDescent="0.25">
      <c r="C291" s="226">
        <f t="shared" si="15"/>
        <v>5.3499999999999964E-2</v>
      </c>
      <c r="D291" s="226">
        <f t="shared" si="16"/>
        <v>4.3233770116711705</v>
      </c>
      <c r="E291" s="226">
        <f t="shared" si="14"/>
        <v>6.1554575745785387</v>
      </c>
      <c r="F291" s="226">
        <f t="shared" si="13"/>
        <v>1.8320000000000001</v>
      </c>
      <c r="G291" s="213"/>
      <c r="H291" s="213"/>
      <c r="I291" s="213"/>
      <c r="J291" s="213"/>
      <c r="K291" s="213"/>
      <c r="L291" s="213"/>
      <c r="M291" s="213"/>
      <c r="N291" s="213"/>
      <c r="O291" s="213"/>
      <c r="P291" s="213"/>
      <c r="Q291" s="213"/>
      <c r="R291" s="213"/>
      <c r="S291" s="213"/>
      <c r="T291" s="213"/>
      <c r="U291" s="213"/>
    </row>
    <row r="292" spans="1:23" hidden="1" x14ac:dyDescent="0.25">
      <c r="C292" s="226">
        <f t="shared" si="15"/>
        <v>5.2999999999999964E-2</v>
      </c>
      <c r="D292" s="226">
        <f t="shared" si="16"/>
        <v>4.3437224276306958</v>
      </c>
      <c r="E292" s="226">
        <f t="shared" si="14"/>
        <v>6.1545873394366106</v>
      </c>
      <c r="F292" s="226">
        <f t="shared" si="13"/>
        <v>1.8109999999999999</v>
      </c>
      <c r="G292" s="213"/>
      <c r="H292" s="213"/>
      <c r="I292" s="213"/>
      <c r="J292" s="213"/>
      <c r="K292" s="213"/>
      <c r="L292" s="213"/>
      <c r="M292" s="213"/>
      <c r="N292" s="213"/>
      <c r="O292" s="213"/>
      <c r="P292" s="213"/>
      <c r="Q292" s="213"/>
      <c r="R292" s="213"/>
      <c r="S292" s="213"/>
      <c r="T292" s="213"/>
      <c r="U292" s="213"/>
    </row>
    <row r="293" spans="1:23" hidden="1" x14ac:dyDescent="0.25">
      <c r="C293" s="226">
        <f t="shared" si="15"/>
        <v>5.2499999999999963E-2</v>
      </c>
      <c r="D293" s="226">
        <f t="shared" si="16"/>
        <v>4.364357804719849</v>
      </c>
      <c r="E293" s="226">
        <f t="shared" si="14"/>
        <v>6.153705591490036</v>
      </c>
      <c r="F293" s="226">
        <f t="shared" si="13"/>
        <v>1.7889999999999999</v>
      </c>
      <c r="G293" s="213"/>
      <c r="H293" s="213"/>
      <c r="I293" s="213"/>
      <c r="J293" s="213"/>
      <c r="K293" s="213"/>
      <c r="L293" s="213"/>
      <c r="M293" s="213"/>
      <c r="N293" s="213"/>
      <c r="O293" s="213"/>
      <c r="P293" s="213"/>
      <c r="Q293" s="213"/>
      <c r="R293" s="213"/>
      <c r="S293" s="213"/>
      <c r="T293" s="213"/>
      <c r="U293" s="213"/>
    </row>
    <row r="294" spans="1:23" hidden="1" x14ac:dyDescent="0.25">
      <c r="C294" s="226">
        <f t="shared" si="15"/>
        <v>5.1999999999999963E-2</v>
      </c>
      <c r="D294" s="226">
        <f t="shared" si="16"/>
        <v>4.3852900965351473</v>
      </c>
      <c r="E294" s="226">
        <f t="shared" si="14"/>
        <v>6.1528120699836419</v>
      </c>
      <c r="F294" s="226">
        <f t="shared" si="13"/>
        <v>1.768</v>
      </c>
      <c r="G294" s="213"/>
      <c r="H294" s="213"/>
      <c r="I294" s="213"/>
      <c r="J294" s="213"/>
      <c r="K294" s="213"/>
      <c r="L294" s="213"/>
      <c r="M294" s="213"/>
      <c r="N294" s="213"/>
      <c r="O294" s="213"/>
      <c r="P294" s="213"/>
      <c r="Q294" s="213"/>
      <c r="R294" s="213"/>
      <c r="S294" s="213"/>
      <c r="T294" s="213"/>
      <c r="U294" s="213"/>
    </row>
    <row r="295" spans="1:23" hidden="1" x14ac:dyDescent="0.25">
      <c r="A295" s="229"/>
      <c r="B295" s="229"/>
      <c r="C295" s="226">
        <f t="shared" si="15"/>
        <v>5.1499999999999962E-2</v>
      </c>
      <c r="D295" s="226">
        <f t="shared" si="16"/>
        <v>4.4065264923923193</v>
      </c>
      <c r="E295" s="226">
        <f t="shared" si="14"/>
        <v>6.1519065057320717</v>
      </c>
      <c r="F295" s="226">
        <f t="shared" si="13"/>
        <v>1.7450000000000001</v>
      </c>
      <c r="G295" s="230"/>
      <c r="H295" s="230"/>
      <c r="I295" s="230"/>
      <c r="J295" s="213"/>
      <c r="K295" s="213"/>
      <c r="L295" s="213"/>
      <c r="M295" s="213"/>
      <c r="N295" s="213"/>
      <c r="O295" s="213"/>
      <c r="P295" s="213"/>
      <c r="Q295" s="213"/>
      <c r="R295" s="213"/>
      <c r="S295" s="213"/>
      <c r="T295" s="213"/>
      <c r="U295" s="213"/>
    </row>
    <row r="296" spans="1:23" hidden="1" x14ac:dyDescent="0.25">
      <c r="A296" s="229"/>
      <c r="B296" s="229"/>
      <c r="C296" s="226">
        <f t="shared" si="15"/>
        <v>5.0999999999999962E-2</v>
      </c>
      <c r="D296" s="226">
        <f t="shared" si="16"/>
        <v>4.4280744277004782</v>
      </c>
      <c r="E296" s="226">
        <f t="shared" si="14"/>
        <v>6.1509886207636715</v>
      </c>
      <c r="F296" s="226">
        <f t="shared" si="13"/>
        <v>1.7230000000000001</v>
      </c>
      <c r="G296" s="230"/>
      <c r="H296" s="230"/>
      <c r="I296" s="230"/>
      <c r="J296" s="213"/>
      <c r="K296" s="213"/>
      <c r="L296" s="213"/>
      <c r="M296" s="213"/>
      <c r="N296" s="213"/>
      <c r="O296" s="213"/>
      <c r="P296" s="213"/>
      <c r="Q296" s="213"/>
      <c r="R296" s="213"/>
      <c r="S296" s="213"/>
      <c r="T296" s="213"/>
      <c r="U296" s="213"/>
    </row>
    <row r="297" spans="1:23" hidden="1" x14ac:dyDescent="0.25">
      <c r="A297" s="229"/>
      <c r="B297" s="229"/>
      <c r="C297" s="226">
        <f t="shared" si="15"/>
        <v>5.0499999999999962E-2</v>
      </c>
      <c r="D297" s="226">
        <f t="shared" si="16"/>
        <v>4.4499415948998493</v>
      </c>
      <c r="E297" s="226">
        <f t="shared" si="14"/>
        <v>6.1500581279457043</v>
      </c>
      <c r="F297" s="226">
        <f t="shared" si="13"/>
        <v>1.7</v>
      </c>
      <c r="G297" s="230"/>
      <c r="H297" s="230"/>
      <c r="I297" s="230"/>
      <c r="J297" s="213"/>
      <c r="K297" s="213"/>
    </row>
    <row r="298" spans="1:23" hidden="1" x14ac:dyDescent="0.25">
      <c r="A298" s="229"/>
      <c r="B298" s="229"/>
      <c r="C298" s="226">
        <f t="shared" si="15"/>
        <v>4.9999999999999961E-2</v>
      </c>
      <c r="D298" s="226">
        <f t="shared" si="16"/>
        <v>4.4721359549995814</v>
      </c>
      <c r="E298" s="226">
        <f t="shared" si="14"/>
        <v>6.1491147305897567</v>
      </c>
      <c r="F298" s="226">
        <f t="shared" si="13"/>
        <v>1.677</v>
      </c>
      <c r="G298" s="229"/>
      <c r="H298" s="226"/>
      <c r="I298" s="226"/>
      <c r="J298" s="213"/>
      <c r="K298" s="213"/>
      <c r="V298" s="200"/>
      <c r="W298" s="231"/>
    </row>
    <row r="299" spans="1:23" hidden="1" x14ac:dyDescent="0.25">
      <c r="A299" s="229"/>
      <c r="B299" s="229"/>
      <c r="C299" s="226">
        <f t="shared" si="15"/>
        <v>4.9499999999999961E-2</v>
      </c>
      <c r="D299" s="226">
        <f t="shared" si="16"/>
        <v>4.4946657497549491</v>
      </c>
      <c r="E299" s="226">
        <f t="shared" si="14"/>
        <v>6.1481581220360573</v>
      </c>
      <c r="F299" s="226">
        <f t="shared" si="13"/>
        <v>1.653</v>
      </c>
      <c r="G299" s="229"/>
      <c r="H299" s="226"/>
      <c r="I299" s="226"/>
      <c r="J299" s="213"/>
      <c r="K299" s="213"/>
    </row>
    <row r="300" spans="1:23" ht="15.75" hidden="1" x14ac:dyDescent="0.25">
      <c r="A300" s="229"/>
      <c r="B300" s="229"/>
      <c r="C300" s="226">
        <f t="shared" si="15"/>
        <v>4.899999999999996E-2</v>
      </c>
      <c r="D300" s="226">
        <f t="shared" si="16"/>
        <v>4.5175395145262582</v>
      </c>
      <c r="E300" s="226">
        <f t="shared" si="14"/>
        <v>6.1471879852153615</v>
      </c>
      <c r="F300" s="226">
        <f t="shared" si="13"/>
        <v>1.63</v>
      </c>
      <c r="G300" s="229"/>
      <c r="H300" s="229"/>
      <c r="I300" s="230"/>
      <c r="J300" s="213"/>
      <c r="K300" s="213"/>
      <c r="V300" s="201"/>
      <c r="W300" s="199"/>
    </row>
    <row r="301" spans="1:23" hidden="1" x14ac:dyDescent="0.25">
      <c r="A301" s="229"/>
      <c r="B301" s="229"/>
      <c r="C301" s="226">
        <f t="shared" si="15"/>
        <v>4.849999999999996E-2</v>
      </c>
      <c r="D301" s="226">
        <f t="shared" si="16"/>
        <v>4.5407660918649997</v>
      </c>
      <c r="E301" s="226">
        <f t="shared" si="14"/>
        <v>6.1462039921869618</v>
      </c>
      <c r="F301" s="226">
        <f t="shared" si="13"/>
        <v>1.605</v>
      </c>
      <c r="G301" s="229"/>
      <c r="H301" s="229"/>
      <c r="I301" s="230"/>
      <c r="J301" s="213"/>
      <c r="K301" s="213"/>
    </row>
    <row r="302" spans="1:23" hidden="1" x14ac:dyDescent="0.25">
      <c r="A302" s="229"/>
      <c r="B302" s="229"/>
      <c r="C302" s="226">
        <f t="shared" si="15"/>
        <v>4.7999999999999959E-2</v>
      </c>
      <c r="D302" s="226">
        <f t="shared" si="16"/>
        <v>4.5643546458763868</v>
      </c>
      <c r="E302" s="226">
        <f t="shared" si="14"/>
        <v>6.14520580365126</v>
      </c>
      <c r="F302" s="226">
        <f t="shared" si="13"/>
        <v>1.581</v>
      </c>
      <c r="G302" s="229"/>
      <c r="H302" s="229"/>
      <c r="I302" s="230"/>
      <c r="J302" s="213"/>
      <c r="K302" s="213"/>
    </row>
    <row r="303" spans="1:23" hidden="1" x14ac:dyDescent="0.25">
      <c r="A303" s="229"/>
      <c r="B303" s="229"/>
      <c r="C303" s="226">
        <f t="shared" si="15"/>
        <v>4.7499999999999959E-2</v>
      </c>
      <c r="D303" s="226">
        <f t="shared" si="16"/>
        <v>4.5883146774112369</v>
      </c>
      <c r="E303" s="226">
        <f t="shared" si="14"/>
        <v>6.1441930684352108</v>
      </c>
      <c r="F303" s="226">
        <f t="shared" si="13"/>
        <v>1.556</v>
      </c>
      <c r="G303" s="229"/>
      <c r="H303" s="229"/>
      <c r="I303" s="230"/>
      <c r="J303" s="213"/>
      <c r="K303" s="213"/>
    </row>
    <row r="304" spans="1:23" hidden="1" x14ac:dyDescent="0.25">
      <c r="A304" s="229"/>
      <c r="B304" s="229"/>
      <c r="C304" s="226">
        <f t="shared" si="15"/>
        <v>4.6999999999999958E-2</v>
      </c>
      <c r="D304" s="226">
        <f t="shared" si="16"/>
        <v>4.6126560401444276</v>
      </c>
      <c r="E304" s="226">
        <f t="shared" si="14"/>
        <v>6.1431654229488473</v>
      </c>
      <c r="F304" s="226">
        <f t="shared" si="13"/>
        <v>1.5309999999999999</v>
      </c>
      <c r="G304" s="229"/>
      <c r="H304" s="229"/>
      <c r="I304" s="230"/>
      <c r="J304" s="213"/>
      <c r="K304" s="213"/>
    </row>
    <row r="305" spans="1:11" hidden="1" x14ac:dyDescent="0.25">
      <c r="A305" s="229"/>
      <c r="B305" s="229"/>
      <c r="C305" s="226">
        <f t="shared" si="15"/>
        <v>4.6499999999999958E-2</v>
      </c>
      <c r="D305" s="226">
        <f t="shared" si="16"/>
        <v>4.6373889576016847</v>
      </c>
      <c r="E305" s="226">
        <f t="shared" si="14"/>
        <v>6.1421224906109249</v>
      </c>
      <c r="F305" s="226">
        <f t="shared" si="13"/>
        <v>1.5049999999999999</v>
      </c>
      <c r="G305" s="229"/>
      <c r="H305" s="229"/>
      <c r="I305" s="213"/>
      <c r="J305" s="213"/>
      <c r="K305" s="213"/>
    </row>
    <row r="306" spans="1:11" hidden="1" x14ac:dyDescent="0.25">
      <c r="A306" s="229"/>
      <c r="B306" s="229"/>
      <c r="C306" s="226">
        <f t="shared" si="15"/>
        <v>4.5999999999999958E-2</v>
      </c>
      <c r="D306" s="226">
        <f t="shared" si="16"/>
        <v>4.6625240412015705</v>
      </c>
      <c r="E306" s="226">
        <f t="shared" si="14"/>
        <v>6.1410638812415845</v>
      </c>
      <c r="F306" s="226">
        <f t="shared" si="13"/>
        <v>1.4790000000000001</v>
      </c>
      <c r="G306" s="229"/>
      <c r="H306" s="229"/>
      <c r="I306" s="213"/>
      <c r="J306" s="213"/>
      <c r="K306" s="213"/>
    </row>
    <row r="307" spans="1:11" hidden="1" x14ac:dyDescent="0.25">
      <c r="B307" s="232"/>
      <c r="C307" s="226">
        <f t="shared" si="15"/>
        <v>4.5499999999999957E-2</v>
      </c>
      <c r="D307" s="226">
        <f t="shared" si="16"/>
        <v>4.6880723093849568</v>
      </c>
      <c r="E307" s="226">
        <f t="shared" si="14"/>
        <v>6.1399891904197688</v>
      </c>
      <c r="F307" s="226">
        <f t="shared" si="13"/>
        <v>1.452</v>
      </c>
      <c r="G307" s="229"/>
      <c r="H307" s="229"/>
      <c r="I307" s="213"/>
      <c r="J307" s="213"/>
      <c r="K307" s="213"/>
    </row>
    <row r="308" spans="1:11" hidden="1" x14ac:dyDescent="0.25">
      <c r="B308" s="233"/>
      <c r="C308" s="226">
        <f t="shared" si="15"/>
        <v>4.4999999999999957E-2</v>
      </c>
      <c r="D308" s="226">
        <f t="shared" si="16"/>
        <v>4.7140452079103197</v>
      </c>
      <c r="E308" s="226">
        <f t="shared" si="14"/>
        <v>6.1388979988029275</v>
      </c>
      <c r="F308" s="226">
        <f t="shared" si="13"/>
        <v>1.425</v>
      </c>
      <c r="G308" s="229"/>
      <c r="H308" s="229"/>
      <c r="I308" s="213"/>
      <c r="J308" s="213"/>
      <c r="K308" s="213"/>
    </row>
    <row r="309" spans="1:11" hidden="1" x14ac:dyDescent="0.25">
      <c r="B309" s="233"/>
      <c r="C309" s="226">
        <f t="shared" si="15"/>
        <v>4.4499999999999956E-2</v>
      </c>
      <c r="D309" s="226">
        <f t="shared" si="16"/>
        <v>4.7404546313997749</v>
      </c>
      <c r="E309" s="226">
        <f t="shared" si="14"/>
        <v>6.137789871406369</v>
      </c>
      <c r="F309" s="226">
        <f t="shared" si="13"/>
        <v>1.397</v>
      </c>
      <c r="G309" s="229"/>
      <c r="H309" s="229"/>
      <c r="I309" s="213"/>
      <c r="J309" s="213"/>
      <c r="K309" s="213"/>
    </row>
    <row r="310" spans="1:11" hidden="1" x14ac:dyDescent="0.25">
      <c r="B310" s="233"/>
      <c r="C310" s="226">
        <f t="shared" si="15"/>
        <v>4.3999999999999956E-2</v>
      </c>
      <c r="D310" s="226">
        <f t="shared" si="16"/>
        <v>4.767312946227964</v>
      </c>
      <c r="E310" s="226">
        <f t="shared" si="14"/>
        <v>6.1366643568393773</v>
      </c>
      <c r="F310" s="226">
        <f t="shared" si="13"/>
        <v>1.369</v>
      </c>
      <c r="G310" s="229"/>
      <c r="H310" s="229"/>
      <c r="I310" s="213"/>
      <c r="J310" s="213"/>
      <c r="K310" s="213"/>
    </row>
    <row r="311" spans="1:11" hidden="1" x14ac:dyDescent="0.25">
      <c r="B311" s="233"/>
      <c r="C311" s="226">
        <f t="shared" si="15"/>
        <v>4.3499999999999955E-2</v>
      </c>
      <c r="D311" s="226">
        <f t="shared" si="16"/>
        <v>4.7946330148538445</v>
      </c>
      <c r="E311" s="226">
        <f t="shared" si="14"/>
        <v>6.1355209864949893</v>
      </c>
      <c r="F311" s="226">
        <f t="shared" si="13"/>
        <v>1.341</v>
      </c>
      <c r="G311" s="229"/>
      <c r="H311" s="229"/>
      <c r="I311" s="213"/>
      <c r="J311" s="213"/>
      <c r="K311" s="213"/>
    </row>
    <row r="312" spans="1:11" hidden="1" x14ac:dyDescent="0.25">
      <c r="B312" s="233"/>
      <c r="C312" s="226">
        <f t="shared" si="15"/>
        <v>4.2999999999999955E-2</v>
      </c>
      <c r="D312" s="226">
        <f t="shared" si="16"/>
        <v>4.8224282217041239</v>
      </c>
      <c r="E312" s="226">
        <f t="shared" si="14"/>
        <v>6.134359273690059</v>
      </c>
      <c r="F312" s="226">
        <f t="shared" si="13"/>
        <v>1.3120000000000001</v>
      </c>
      <c r="G312" s="229"/>
      <c r="H312" s="229"/>
      <c r="I312" s="213"/>
      <c r="J312" s="213"/>
      <c r="K312" s="213"/>
    </row>
    <row r="313" spans="1:11" hidden="1" x14ac:dyDescent="0.25">
      <c r="B313" s="233"/>
      <c r="C313" s="226">
        <f t="shared" si="15"/>
        <v>4.2499999999999954E-2</v>
      </c>
      <c r="D313" s="226">
        <f t="shared" si="16"/>
        <v>4.8507125007266616</v>
      </c>
      <c r="E313" s="226">
        <f t="shared" si="14"/>
        <v>6.1331787127519322</v>
      </c>
      <c r="F313" s="226">
        <f t="shared" si="13"/>
        <v>1.282</v>
      </c>
      <c r="G313" s="229"/>
      <c r="H313" s="229"/>
      <c r="I313" s="213"/>
      <c r="J313" s="213"/>
      <c r="K313" s="213"/>
    </row>
    <row r="314" spans="1:11" hidden="1" x14ac:dyDescent="0.25">
      <c r="B314" s="233"/>
      <c r="C314" s="226">
        <f>C313-0.0005</f>
        <v>4.1999999999999954E-2</v>
      </c>
      <c r="D314" s="226">
        <f t="shared" si="16"/>
        <v>4.8795003647426691</v>
      </c>
      <c r="E314" s="226">
        <f t="shared" si="14"/>
        <v>6.1319787780477872</v>
      </c>
      <c r="F314" s="226">
        <f t="shared" si="13"/>
        <v>1.252</v>
      </c>
      <c r="G314" s="229"/>
      <c r="H314" s="234"/>
      <c r="I314" s="213"/>
      <c r="J314" s="213"/>
      <c r="K314" s="213"/>
    </row>
    <row r="315" spans="1:11" hidden="1" x14ac:dyDescent="0.25">
      <c r="B315" s="233"/>
      <c r="C315" s="226">
        <f t="shared" si="15"/>
        <v>4.1499999999999954E-2</v>
      </c>
      <c r="D315" s="226">
        <f t="shared" si="16"/>
        <v>4.9088069367381628</v>
      </c>
      <c r="E315" s="226">
        <f t="shared" si="14"/>
        <v>6.1307589229522783</v>
      </c>
      <c r="F315" s="226">
        <f t="shared" si="13"/>
        <v>1.222</v>
      </c>
      <c r="G315" s="229"/>
      <c r="H315" s="234"/>
      <c r="I315" s="213"/>
      <c r="J315" s="213"/>
      <c r="K315" s="213"/>
    </row>
    <row r="316" spans="1:11" hidden="1" x14ac:dyDescent="0.25">
      <c r="B316" s="233"/>
      <c r="C316" s="226">
        <f t="shared" si="15"/>
        <v>4.0999999999999953E-2</v>
      </c>
      <c r="D316" s="226">
        <f t="shared" si="16"/>
        <v>4.9386479832479511</v>
      </c>
      <c r="E316" s="226">
        <f t="shared" si="14"/>
        <v>6.129518578748808</v>
      </c>
      <c r="F316" s="226">
        <f t="shared" si="13"/>
        <v>1.1910000000000001</v>
      </c>
      <c r="G316" s="229"/>
      <c r="H316" s="234" t="s">
        <v>227</v>
      </c>
      <c r="I316" s="213"/>
      <c r="J316" s="213"/>
      <c r="K316" s="213"/>
    </row>
    <row r="317" spans="1:11" hidden="1" x14ac:dyDescent="0.25">
      <c r="B317" s="233"/>
      <c r="C317" s="226">
        <f t="shared" si="15"/>
        <v>4.0499999999999953E-2</v>
      </c>
      <c r="D317" s="226">
        <f t="shared" si="16"/>
        <v>4.9690399499995355</v>
      </c>
      <c r="E317" s="226">
        <f t="shared" si="14"/>
        <v>6.1282571534592876</v>
      </c>
      <c r="F317" s="226">
        <f t="shared" si="13"/>
        <v>1.159</v>
      </c>
      <c r="G317" s="229"/>
      <c r="H317" s="229"/>
      <c r="I317" s="213"/>
      <c r="J317" s="213"/>
      <c r="K317" s="213"/>
    </row>
    <row r="318" spans="1:11" hidden="1" x14ac:dyDescent="0.25">
      <c r="B318" s="233"/>
      <c r="C318" s="226">
        <f t="shared" si="15"/>
        <v>3.9999999999999952E-2</v>
      </c>
      <c r="D318" s="226">
        <f t="shared" si="16"/>
        <v>5.0000000000000036</v>
      </c>
      <c r="E318" s="226">
        <f t="shared" si="14"/>
        <v>6.1269740305967915</v>
      </c>
      <c r="F318" s="226">
        <f t="shared" si="13"/>
        <v>1.127</v>
      </c>
      <c r="G318" s="229"/>
      <c r="H318" s="229"/>
      <c r="I318" s="213"/>
      <c r="J318" s="213"/>
      <c r="K318" s="213"/>
    </row>
    <row r="319" spans="1:11" hidden="1" x14ac:dyDescent="0.25">
      <c r="B319" s="233"/>
      <c r="C319" s="226">
        <f t="shared" si="15"/>
        <v>3.9499999999999952E-2</v>
      </c>
      <c r="D319" s="226">
        <f t="shared" si="16"/>
        <v>5.0315460542662791</v>
      </c>
      <c r="E319" s="226">
        <f t="shared" si="14"/>
        <v>6.1256685678350191</v>
      </c>
      <c r="F319" s="226">
        <f t="shared" si="13"/>
        <v>1.0940000000000001</v>
      </c>
      <c r="G319" s="229"/>
      <c r="H319" s="229"/>
      <c r="I319" s="213"/>
      <c r="J319" s="213"/>
      <c r="K319" s="213"/>
    </row>
    <row r="320" spans="1:11" hidden="1" x14ac:dyDescent="0.25">
      <c r="B320" s="233"/>
      <c r="C320" s="226">
        <f t="shared" si="15"/>
        <v>3.8999999999999951E-2</v>
      </c>
      <c r="D320" s="226">
        <f t="shared" si="16"/>
        <v>5.0636968354183365</v>
      </c>
      <c r="E320" s="226">
        <f t="shared" si="14"/>
        <v>6.12434009558788</v>
      </c>
      <c r="F320" s="226">
        <f t="shared" si="13"/>
        <v>1.0609999999999999</v>
      </c>
      <c r="G320" s="229"/>
      <c r="H320" s="229"/>
      <c r="I320" s="213"/>
      <c r="J320" s="213"/>
      <c r="K320" s="213"/>
    </row>
    <row r="321" spans="2:21" hidden="1" x14ac:dyDescent="0.25">
      <c r="B321" s="233"/>
      <c r="C321" s="226">
        <f t="shared" si="15"/>
        <v>3.8499999999999951E-2</v>
      </c>
      <c r="D321" s="226">
        <f t="shared" si="16"/>
        <v>5.0964719143762585</v>
      </c>
      <c r="E321" s="226">
        <f t="shared" si="14"/>
        <v>6.1229879154919145</v>
      </c>
      <c r="F321" s="226">
        <f t="shared" si="13"/>
        <v>1.0269999999999999</v>
      </c>
      <c r="G321" s="229"/>
      <c r="H321" s="229"/>
      <c r="I321" s="213"/>
      <c r="J321" s="213"/>
      <c r="K321" s="213"/>
    </row>
    <row r="322" spans="2:21" hidden="1" x14ac:dyDescent="0.25">
      <c r="B322" s="233"/>
      <c r="C322" s="226">
        <f t="shared" si="15"/>
        <v>3.799999999999995E-2</v>
      </c>
      <c r="D322" s="226">
        <f t="shared" si="16"/>
        <v>5.1298917604257737</v>
      </c>
      <c r="E322" s="226">
        <f t="shared" si="14"/>
        <v>6.1216112987835629</v>
      </c>
      <c r="F322" s="226">
        <f t="shared" si="13"/>
        <v>0.99199999999999999</v>
      </c>
      <c r="G322" s="229"/>
      <c r="H322" s="229"/>
      <c r="I322" s="213"/>
      <c r="J322" s="213"/>
      <c r="K322" s="213"/>
    </row>
    <row r="323" spans="2:21" hidden="1" x14ac:dyDescent="0.25">
      <c r="B323" s="233"/>
      <c r="C323" s="226">
        <f t="shared" si="15"/>
        <v>3.749999999999995E-2</v>
      </c>
      <c r="D323" s="226">
        <f t="shared" si="16"/>
        <v>5.163977794943226</v>
      </c>
      <c r="E323" s="226">
        <f t="shared" si="14"/>
        <v>6.1202094845625181</v>
      </c>
      <c r="F323" s="226">
        <f t="shared" si="13"/>
        <v>0.95599999999999996</v>
      </c>
      <c r="G323" s="229"/>
      <c r="H323" s="229"/>
      <c r="I323" s="213"/>
      <c r="J323" s="213"/>
      <c r="K323" s="213"/>
    </row>
    <row r="324" spans="2:21" hidden="1" x14ac:dyDescent="0.25">
      <c r="B324" s="233"/>
      <c r="C324" s="226">
        <f t="shared" si="15"/>
        <v>3.699999999999995E-2</v>
      </c>
      <c r="D324" s="226">
        <f t="shared" si="16"/>
        <v>5.1987524491003674</v>
      </c>
      <c r="E324" s="226">
        <f t="shared" si="14"/>
        <v>6.1187816779315511</v>
      </c>
      <c r="F324" s="226">
        <f t="shared" si="13"/>
        <v>0.92</v>
      </c>
      <c r="G324" s="229"/>
      <c r="H324" s="229"/>
      <c r="I324" s="213"/>
      <c r="J324" s="213"/>
      <c r="K324" s="213"/>
    </row>
    <row r="325" spans="2:21" hidden="1" x14ac:dyDescent="0.25">
      <c r="B325" s="233"/>
      <c r="C325" s="226">
        <f t="shared" si="15"/>
        <v>3.6499999999999949E-2</v>
      </c>
      <c r="D325" s="226">
        <f t="shared" si="16"/>
        <v>5.2342392259021411</v>
      </c>
      <c r="E325" s="226">
        <f t="shared" si="14"/>
        <v>6.1173270480022373</v>
      </c>
      <c r="F325" s="226">
        <f t="shared" si="13"/>
        <v>0.88300000000000001</v>
      </c>
      <c r="G325" s="213"/>
      <c r="H325" s="213"/>
      <c r="I325" s="213"/>
      <c r="J325" s="213"/>
      <c r="K325" s="213"/>
    </row>
    <row r="326" spans="2:21" hidden="1" x14ac:dyDescent="0.25">
      <c r="B326" s="233"/>
      <c r="C326" s="226">
        <f t="shared" si="15"/>
        <v>3.5999999999999949E-2</v>
      </c>
      <c r="D326" s="226">
        <f t="shared" si="16"/>
        <v>5.2704627669473023</v>
      </c>
      <c r="E326" s="226">
        <f t="shared" si="14"/>
        <v>6.1158447257549566</v>
      </c>
      <c r="F326" s="226">
        <f t="shared" ref="F326:F384" si="17">ROUND(ABS(D326-E326),3)</f>
        <v>0.84499999999999997</v>
      </c>
      <c r="G326" s="213"/>
      <c r="H326" s="213"/>
      <c r="I326" s="213"/>
      <c r="J326" s="213"/>
      <c r="K326" s="213"/>
    </row>
    <row r="327" spans="2:21" hidden="1" x14ac:dyDescent="0.25">
      <c r="B327" s="233"/>
      <c r="C327" s="226">
        <f t="shared" si="15"/>
        <v>3.5499999999999948E-2</v>
      </c>
      <c r="D327" s="226">
        <f t="shared" si="16"/>
        <v>5.3074489243427561</v>
      </c>
      <c r="E327" s="226">
        <f t="shared" ref="E327:E384" si="18">-2*LOG10(((2.51/($D$194*SQRT(C327)))+(0.269*$G$194)))</f>
        <v>6.1143338017403641</v>
      </c>
      <c r="F327" s="226">
        <f t="shared" si="17"/>
        <v>0.80700000000000005</v>
      </c>
      <c r="G327" s="213"/>
      <c r="H327" s="213"/>
      <c r="I327" s="213"/>
      <c r="J327" s="213"/>
      <c r="K327" s="213"/>
    </row>
    <row r="328" spans="2:21" hidden="1" x14ac:dyDescent="0.25">
      <c r="B328" s="233"/>
      <c r="C328" s="226">
        <f t="shared" ref="C328:C380" si="19">C327-0.0005</f>
        <v>3.4999999999999948E-2</v>
      </c>
      <c r="D328" s="226">
        <f t="shared" ref="D328:D384" si="20">1/SQRT(C328)</f>
        <v>5.3452248382484919</v>
      </c>
      <c r="E328" s="226">
        <f t="shared" si="18"/>
        <v>6.112793323608174</v>
      </c>
      <c r="F328" s="226">
        <f t="shared" si="17"/>
        <v>0.76800000000000002</v>
      </c>
      <c r="G328" s="213"/>
      <c r="H328" s="213"/>
      <c r="I328" s="213"/>
      <c r="J328" s="213"/>
      <c r="K328" s="213"/>
    </row>
    <row r="329" spans="2:21" hidden="1" x14ac:dyDescent="0.25">
      <c r="B329" s="233"/>
      <c r="C329" s="226">
        <f t="shared" si="19"/>
        <v>3.4499999999999947E-2</v>
      </c>
      <c r="D329" s="226">
        <f t="shared" si="20"/>
        <v>5.383819020581659</v>
      </c>
      <c r="E329" s="226">
        <f t="shared" si="18"/>
        <v>6.1112222934476739</v>
      </c>
      <c r="F329" s="226">
        <f t="shared" si="17"/>
        <v>0.72699999999999998</v>
      </c>
      <c r="J329" s="213"/>
      <c r="K329" s="213"/>
    </row>
    <row r="330" spans="2:21" hidden="1" x14ac:dyDescent="0.25">
      <c r="B330" s="233"/>
      <c r="C330" s="226">
        <f t="shared" si="19"/>
        <v>3.3999999999999947E-2</v>
      </c>
      <c r="D330" s="226">
        <f t="shared" si="20"/>
        <v>5.4232614454664088</v>
      </c>
      <c r="E330" s="226">
        <f t="shared" si="18"/>
        <v>6.1096196649226728</v>
      </c>
      <c r="F330" s="226">
        <f t="shared" si="17"/>
        <v>0.68600000000000005</v>
      </c>
      <c r="H330" s="213"/>
      <c r="I330" s="213"/>
      <c r="J330" s="213"/>
      <c r="K330" s="213"/>
    </row>
    <row r="331" spans="2:21" hidden="1" x14ac:dyDescent="0.25">
      <c r="B331" s="233"/>
      <c r="C331" s="226">
        <f t="shared" si="19"/>
        <v>3.3499999999999946E-2</v>
      </c>
      <c r="D331" s="226">
        <f t="shared" si="20"/>
        <v>5.4635836470815349</v>
      </c>
      <c r="E331" s="226">
        <f t="shared" si="18"/>
        <v>6.1079843401817522</v>
      </c>
      <c r="F331" s="226">
        <f t="shared" si="17"/>
        <v>0.64400000000000002</v>
      </c>
      <c r="H331" s="213"/>
      <c r="I331" s="213"/>
      <c r="J331" s="213"/>
      <c r="K331" s="213"/>
    </row>
    <row r="332" spans="2:21" hidden="1" x14ac:dyDescent="0.25">
      <c r="B332" s="233"/>
      <c r="C332" s="226">
        <f t="shared" si="19"/>
        <v>3.2999999999999946E-2</v>
      </c>
      <c r="D332" s="226">
        <f t="shared" si="20"/>
        <v>5.5048188256318076</v>
      </c>
      <c r="E332" s="226">
        <f t="shared" si="18"/>
        <v>6.106315166522613</v>
      </c>
      <c r="F332" s="226">
        <f t="shared" si="17"/>
        <v>0.60099999999999998</v>
      </c>
      <c r="H332" s="213"/>
      <c r="I332" s="213"/>
      <c r="J332" s="213"/>
      <c r="K332" s="213"/>
    </row>
    <row r="333" spans="2:21" hidden="1" x14ac:dyDescent="0.25">
      <c r="B333" s="233"/>
      <c r="C333" s="226">
        <f t="shared" si="19"/>
        <v>3.2499999999999946E-2</v>
      </c>
      <c r="D333" s="226">
        <f t="shared" si="20"/>
        <v>5.5470019622522964</v>
      </c>
      <c r="E333" s="226">
        <f t="shared" si="18"/>
        <v>6.10461093278691</v>
      </c>
      <c r="F333" s="226">
        <f t="shared" si="17"/>
        <v>0.55800000000000005</v>
      </c>
      <c r="H333" s="213"/>
      <c r="I333" s="213"/>
      <c r="J333" s="213"/>
      <c r="K333" s="213"/>
    </row>
    <row r="334" spans="2:21" hidden="1" x14ac:dyDescent="0.25">
      <c r="B334" s="233"/>
      <c r="C334" s="226">
        <f t="shared" si="19"/>
        <v>3.1999999999999945E-2</v>
      </c>
      <c r="D334" s="226">
        <f t="shared" si="20"/>
        <v>5.5901699437494798</v>
      </c>
      <c r="E334" s="226">
        <f t="shared" si="18"/>
        <v>6.1028703654593475</v>
      </c>
      <c r="F334" s="226">
        <f t="shared" si="17"/>
        <v>0.51300000000000001</v>
      </c>
      <c r="H334" s="213"/>
      <c r="I334" s="213"/>
      <c r="J334" s="213"/>
      <c r="K334" s="213"/>
    </row>
    <row r="335" spans="2:21" hidden="1" x14ac:dyDescent="0.25">
      <c r="B335" s="233"/>
      <c r="C335" s="226">
        <f t="shared" si="19"/>
        <v>3.1499999999999945E-2</v>
      </c>
      <c r="D335" s="226">
        <f t="shared" si="20"/>
        <v>5.6343616981901148</v>
      </c>
      <c r="E335" s="226">
        <f t="shared" si="18"/>
        <v>6.1010921244417888</v>
      </c>
      <c r="F335" s="226">
        <f t="shared" si="17"/>
        <v>0.46700000000000003</v>
      </c>
      <c r="H335" s="213"/>
      <c r="I335" s="213"/>
      <c r="J335" s="213"/>
      <c r="K335" s="213"/>
      <c r="L335" s="213"/>
      <c r="M335" s="213"/>
      <c r="N335" s="213"/>
      <c r="O335" s="213"/>
      <c r="P335" s="213"/>
      <c r="Q335" s="213"/>
      <c r="R335" s="213"/>
      <c r="S335" s="219"/>
      <c r="T335" s="219"/>
      <c r="U335" s="213"/>
    </row>
    <row r="336" spans="2:21" hidden="1" x14ac:dyDescent="0.25">
      <c r="B336" s="233"/>
      <c r="C336" s="226">
        <f t="shared" si="19"/>
        <v>3.0999999999999944E-2</v>
      </c>
      <c r="D336" s="226">
        <f t="shared" si="20"/>
        <v>5.6796183424706532</v>
      </c>
      <c r="E336" s="226">
        <f t="shared" si="18"/>
        <v>6.0992747984697235</v>
      </c>
      <c r="F336" s="226">
        <f t="shared" si="17"/>
        <v>0.42</v>
      </c>
      <c r="H336" s="213"/>
      <c r="I336" s="213"/>
      <c r="J336" s="213"/>
      <c r="K336" s="213"/>
      <c r="L336" s="213"/>
      <c r="M336" s="213"/>
      <c r="N336" s="213"/>
      <c r="O336" s="213"/>
      <c r="P336" s="213"/>
      <c r="Q336" s="213"/>
      <c r="R336" s="213"/>
      <c r="S336" s="219"/>
      <c r="T336" s="219"/>
      <c r="U336" s="213"/>
    </row>
    <row r="337" spans="2:21" hidden="1" x14ac:dyDescent="0.25">
      <c r="B337" s="233"/>
      <c r="C337" s="226">
        <f t="shared" si="19"/>
        <v>3.0499999999999944E-2</v>
      </c>
      <c r="D337" s="226">
        <f t="shared" si="20"/>
        <v>5.7259833431386875</v>
      </c>
      <c r="E337" s="226">
        <f t="shared" si="18"/>
        <v>6.0974169001345988</v>
      </c>
      <c r="F337" s="226">
        <f t="shared" si="17"/>
        <v>0.371</v>
      </c>
      <c r="H337" s="213"/>
      <c r="I337" s="213"/>
      <c r="J337" s="213"/>
      <c r="K337" s="213"/>
      <c r="L337" s="213"/>
      <c r="M337" s="213"/>
      <c r="N337" s="213"/>
      <c r="O337" s="213"/>
      <c r="P337" s="213"/>
      <c r="Q337" s="213"/>
      <c r="R337" s="213"/>
      <c r="S337" s="213"/>
      <c r="T337" s="219"/>
      <c r="U337" s="213"/>
    </row>
    <row r="338" spans="2:21" hidden="1" x14ac:dyDescent="0.25">
      <c r="B338" s="233"/>
      <c r="C338" s="226">
        <f t="shared" si="19"/>
        <v>2.9999999999999943E-2</v>
      </c>
      <c r="D338" s="226">
        <f t="shared" si="20"/>
        <v>5.7735026918962635</v>
      </c>
      <c r="E338" s="226">
        <f t="shared" si="18"/>
        <v>6.0955168604711059</v>
      </c>
      <c r="F338" s="226">
        <f t="shared" si="17"/>
        <v>0.32200000000000001</v>
      </c>
      <c r="H338" s="213"/>
      <c r="I338" s="213"/>
      <c r="J338" s="235"/>
      <c r="K338" s="213"/>
      <c r="L338" s="213"/>
      <c r="M338" s="213"/>
      <c r="N338" s="213"/>
      <c r="O338" s="213"/>
      <c r="P338" s="213"/>
      <c r="Q338" s="213"/>
      <c r="R338" s="213"/>
      <c r="S338" s="213"/>
      <c r="T338" s="213"/>
      <c r="U338" s="213"/>
    </row>
    <row r="339" spans="2:21" hidden="1" x14ac:dyDescent="0.25">
      <c r="B339" s="233"/>
      <c r="C339" s="226">
        <f t="shared" si="19"/>
        <v>2.9499999999999943E-2</v>
      </c>
      <c r="D339" s="226">
        <f t="shared" si="20"/>
        <v>5.8222250973958261</v>
      </c>
      <c r="E339" s="226">
        <f t="shared" si="18"/>
        <v>6.0935730230635494</v>
      </c>
      <c r="F339" s="226">
        <f t="shared" si="17"/>
        <v>0.27100000000000002</v>
      </c>
      <c r="H339" s="213"/>
      <c r="I339" s="213"/>
      <c r="J339" s="213"/>
      <c r="K339" s="213"/>
      <c r="L339" s="213"/>
      <c r="M339" s="213"/>
      <c r="N339" s="213"/>
      <c r="O339" s="213"/>
      <c r="P339" s="213"/>
      <c r="Q339" s="213"/>
      <c r="R339" s="213"/>
      <c r="S339" s="213"/>
      <c r="T339" s="213"/>
      <c r="U339" s="213"/>
    </row>
    <row r="340" spans="2:21" hidden="1" x14ac:dyDescent="0.25">
      <c r="B340" s="233"/>
      <c r="C340" s="226">
        <f t="shared" si="19"/>
        <v>2.8999999999999942E-2</v>
      </c>
      <c r="D340" s="226">
        <f t="shared" si="20"/>
        <v>5.8722021951470404</v>
      </c>
      <c r="E340" s="226">
        <f t="shared" si="18"/>
        <v>6.0915836376197063</v>
      </c>
      <c r="F340" s="226">
        <f t="shared" si="17"/>
        <v>0.219</v>
      </c>
      <c r="H340" s="213"/>
      <c r="I340" s="213"/>
      <c r="J340" s="213"/>
      <c r="K340" s="213"/>
      <c r="L340" s="213"/>
      <c r="M340" s="213"/>
      <c r="N340" s="213"/>
      <c r="O340" s="213"/>
      <c r="P340" s="213"/>
      <c r="Q340" s="213"/>
      <c r="R340" s="213"/>
      <c r="S340" s="213"/>
      <c r="T340" s="213"/>
      <c r="U340" s="213"/>
    </row>
    <row r="341" spans="2:21" hidden="1" x14ac:dyDescent="0.25">
      <c r="B341" s="233"/>
      <c r="C341" s="226">
        <f t="shared" si="19"/>
        <v>2.8499999999999942E-2</v>
      </c>
      <c r="D341" s="226">
        <f t="shared" si="20"/>
        <v>5.9234887775909293</v>
      </c>
      <c r="E341" s="226">
        <f t="shared" si="18"/>
        <v>6.0895468529540651</v>
      </c>
      <c r="F341" s="226">
        <f t="shared" si="17"/>
        <v>0.16600000000000001</v>
      </c>
      <c r="H341" s="213"/>
      <c r="I341" s="213"/>
      <c r="J341" s="213"/>
      <c r="K341" s="213"/>
      <c r="L341" s="213"/>
      <c r="M341" s="213"/>
      <c r="N341" s="213"/>
      <c r="O341" s="213"/>
      <c r="P341" s="213"/>
      <c r="Q341" s="213"/>
      <c r="R341" s="213"/>
      <c r="S341" s="213"/>
      <c r="T341" s="213"/>
      <c r="U341" s="213"/>
    </row>
    <row r="342" spans="2:21" hidden="1" x14ac:dyDescent="0.25">
      <c r="B342" s="233"/>
      <c r="C342" s="226">
        <f t="shared" si="19"/>
        <v>2.7999999999999942E-2</v>
      </c>
      <c r="D342" s="226">
        <f t="shared" si="20"/>
        <v>5.9761430466719743</v>
      </c>
      <c r="E342" s="226">
        <f t="shared" si="18"/>
        <v>6.0874607093148825</v>
      </c>
      <c r="F342" s="226">
        <f t="shared" si="17"/>
        <v>0.111</v>
      </c>
      <c r="H342" s="213"/>
      <c r="I342" s="213"/>
      <c r="J342" s="213"/>
      <c r="K342" s="213"/>
      <c r="L342" s="213"/>
      <c r="M342" s="213"/>
      <c r="N342" s="213"/>
      <c r="O342" s="213"/>
      <c r="P342" s="213"/>
      <c r="Q342" s="213"/>
      <c r="R342" s="213"/>
      <c r="S342" s="213"/>
      <c r="T342" s="213"/>
      <c r="U342" s="213"/>
    </row>
    <row r="343" spans="2:21" hidden="1" x14ac:dyDescent="0.25">
      <c r="B343" s="233"/>
      <c r="C343" s="226">
        <f t="shared" si="19"/>
        <v>2.7499999999999941E-2</v>
      </c>
      <c r="D343" s="226">
        <f t="shared" si="20"/>
        <v>6.0302268915552784</v>
      </c>
      <c r="E343" s="226">
        <f t="shared" si="18"/>
        <v>6.0853231299808899</v>
      </c>
      <c r="F343" s="226">
        <f t="shared" si="17"/>
        <v>5.5E-2</v>
      </c>
      <c r="H343" s="213"/>
      <c r="I343" s="213"/>
      <c r="J343" s="213"/>
      <c r="K343" s="213"/>
      <c r="L343" s="213"/>
      <c r="M343" s="213"/>
      <c r="N343" s="213"/>
      <c r="O343" s="213"/>
      <c r="P343" s="213"/>
      <c r="Q343" s="213"/>
      <c r="R343" s="213"/>
      <c r="S343" s="213"/>
      <c r="T343" s="213"/>
      <c r="U343" s="213"/>
    </row>
    <row r="344" spans="2:21" hidden="1" x14ac:dyDescent="0.25">
      <c r="B344" s="233"/>
      <c r="C344" s="226">
        <f t="shared" si="19"/>
        <v>2.6999999999999941E-2</v>
      </c>
      <c r="D344" s="226">
        <f t="shared" si="20"/>
        <v>6.0858061945018527</v>
      </c>
      <c r="E344" s="226">
        <f t="shared" si="18"/>
        <v>6.0831319120436067</v>
      </c>
      <c r="F344" s="226">
        <f t="shared" si="17"/>
        <v>3.0000000000000001E-3</v>
      </c>
      <c r="H344" s="213"/>
      <c r="I344" s="213"/>
      <c r="J344" s="213"/>
      <c r="K344" s="213"/>
      <c r="L344" s="213"/>
      <c r="M344" s="213"/>
      <c r="N344" s="213"/>
      <c r="O344" s="213"/>
      <c r="P344" s="213"/>
      <c r="Q344" s="213"/>
      <c r="R344" s="213"/>
      <c r="S344" s="213"/>
      <c r="T344" s="213"/>
      <c r="U344" s="213"/>
    </row>
    <row r="345" spans="2:21" hidden="1" x14ac:dyDescent="0.25">
      <c r="B345" s="200"/>
      <c r="C345" s="226">
        <f t="shared" si="19"/>
        <v>2.649999999999994E-2</v>
      </c>
      <c r="D345" s="226">
        <f t="shared" si="20"/>
        <v>6.1429511683395184</v>
      </c>
      <c r="E345" s="226">
        <f t="shared" si="18"/>
        <v>6.0808847162798321</v>
      </c>
      <c r="F345" s="226">
        <f t="shared" si="17"/>
        <v>6.2E-2</v>
      </c>
      <c r="H345" s="213"/>
      <c r="I345" s="213"/>
      <c r="J345" s="213"/>
      <c r="K345" s="213"/>
      <c r="L345" s="172"/>
      <c r="M345" s="172"/>
      <c r="N345" s="172"/>
      <c r="O345" s="213"/>
      <c r="P345" s="213"/>
      <c r="Q345" s="213"/>
      <c r="R345" s="213"/>
      <c r="S345" s="213"/>
      <c r="T345" s="213"/>
      <c r="U345" s="213"/>
    </row>
    <row r="346" spans="2:21" hidden="1" x14ac:dyDescent="0.25">
      <c r="B346" s="200"/>
      <c r="C346" s="226">
        <f t="shared" si="19"/>
        <v>2.599999999999994E-2</v>
      </c>
      <c r="D346" s="226">
        <f t="shared" si="20"/>
        <v>6.2017367294604302</v>
      </c>
      <c r="E346" s="226">
        <f t="shared" si="18"/>
        <v>6.0785790560056459</v>
      </c>
      <c r="F346" s="226">
        <f t="shared" si="17"/>
        <v>0.123</v>
      </c>
      <c r="H346" s="213"/>
      <c r="I346" s="213"/>
      <c r="J346" s="213"/>
      <c r="K346" s="213"/>
      <c r="L346" s="172"/>
      <c r="M346" s="172"/>
      <c r="N346" s="172"/>
      <c r="O346" s="213"/>
      <c r="P346" s="213"/>
      <c r="Q346" s="213"/>
      <c r="R346" s="213"/>
      <c r="S346" s="213"/>
      <c r="T346" s="213"/>
      <c r="U346" s="213"/>
    </row>
    <row r="347" spans="2:21" hidden="1" x14ac:dyDescent="0.25">
      <c r="B347" s="200"/>
      <c r="C347" s="226">
        <f t="shared" si="19"/>
        <v>2.5499999999999939E-2</v>
      </c>
      <c r="D347" s="226">
        <f t="shared" si="20"/>
        <v>6.2622429108515023</v>
      </c>
      <c r="E347" s="226">
        <f t="shared" si="18"/>
        <v>6.0762122847879789</v>
      </c>
      <c r="F347" s="226">
        <f t="shared" si="17"/>
        <v>0.186</v>
      </c>
      <c r="H347" s="213"/>
      <c r="I347" s="213"/>
      <c r="J347" s="213"/>
      <c r="K347" s="213"/>
      <c r="L347" s="213"/>
      <c r="M347" s="213"/>
      <c r="N347" s="213"/>
      <c r="O347" s="213"/>
      <c r="P347" s="213"/>
      <c r="Q347" s="213"/>
      <c r="R347" s="213"/>
      <c r="S347" s="213"/>
      <c r="T347" s="213"/>
      <c r="U347" s="213"/>
    </row>
    <row r="348" spans="2:21" hidden="1" x14ac:dyDescent="0.25">
      <c r="B348" s="200"/>
      <c r="C348" s="226">
        <f t="shared" si="19"/>
        <v>2.4999999999999939E-2</v>
      </c>
      <c r="D348" s="226">
        <f t="shared" si="20"/>
        <v>6.3245553203367662</v>
      </c>
      <c r="E348" s="226">
        <f t="shared" si="18"/>
        <v>6.0737815828719635</v>
      </c>
      <c r="F348" s="226">
        <f t="shared" si="17"/>
        <v>0.251</v>
      </c>
      <c r="H348" s="213"/>
      <c r="I348" s="213"/>
      <c r="J348" s="172"/>
      <c r="K348" s="172"/>
      <c r="L348" s="213"/>
      <c r="M348" s="213"/>
      <c r="N348" s="213"/>
      <c r="O348" s="213"/>
      <c r="P348" s="213"/>
      <c r="Q348" s="213"/>
      <c r="R348" s="213"/>
      <c r="S348" s="213"/>
      <c r="T348" s="213"/>
      <c r="U348" s="213"/>
    </row>
    <row r="349" spans="2:21" hidden="1" x14ac:dyDescent="0.25">
      <c r="B349" s="200"/>
      <c r="C349" s="226">
        <f t="shared" si="19"/>
        <v>2.4499999999999938E-2</v>
      </c>
      <c r="D349" s="226">
        <f t="shared" si="20"/>
        <v>6.3887656499994065</v>
      </c>
      <c r="E349" s="226">
        <f t="shared" si="18"/>
        <v>6.0712839421614948</v>
      </c>
      <c r="F349" s="226">
        <f t="shared" si="17"/>
        <v>0.317</v>
      </c>
      <c r="H349" s="213"/>
      <c r="I349" s="213"/>
      <c r="J349" s="172"/>
      <c r="K349" s="172"/>
      <c r="L349" s="213"/>
      <c r="M349" s="213"/>
      <c r="N349" s="213"/>
      <c r="O349" s="213"/>
      <c r="P349" s="213"/>
      <c r="Q349" s="213"/>
      <c r="R349" s="213"/>
      <c r="S349" s="213"/>
      <c r="T349" s="213"/>
      <c r="U349" s="213"/>
    </row>
    <row r="350" spans="2:21" hidden="1" x14ac:dyDescent="0.25">
      <c r="B350" s="200"/>
      <c r="C350" s="226">
        <f t="shared" si="19"/>
        <v>2.3999999999999938E-2</v>
      </c>
      <c r="D350" s="226">
        <f t="shared" si="20"/>
        <v>6.4549722436790367</v>
      </c>
      <c r="E350" s="226">
        <f t="shared" si="18"/>
        <v>6.0687161495661313</v>
      </c>
      <c r="F350" s="226">
        <f t="shared" si="17"/>
        <v>0.38600000000000001</v>
      </c>
      <c r="H350" s="213"/>
      <c r="I350" s="213"/>
      <c r="J350" s="172"/>
      <c r="K350" s="172"/>
      <c r="L350" s="213"/>
      <c r="M350" s="213"/>
      <c r="N350" s="213"/>
      <c r="O350" s="213"/>
      <c r="P350" s="213"/>
      <c r="Q350" s="213"/>
      <c r="R350" s="213"/>
      <c r="S350" s="213"/>
      <c r="T350" s="213"/>
      <c r="U350" s="213"/>
    </row>
    <row r="351" spans="2:21" hidden="1" x14ac:dyDescent="0.25">
      <c r="B351" s="200"/>
      <c r="C351" s="226">
        <f t="shared" si="19"/>
        <v>2.3499999999999938E-2</v>
      </c>
      <c r="D351" s="226">
        <f t="shared" si="20"/>
        <v>6.5232807305344309</v>
      </c>
      <c r="E351" s="226">
        <f t="shared" si="18"/>
        <v>6.0660747684988872</v>
      </c>
      <c r="F351" s="226">
        <f t="shared" si="17"/>
        <v>0.45700000000000002</v>
      </c>
      <c r="H351" s="213"/>
      <c r="I351" s="213"/>
      <c r="J351" s="172"/>
      <c r="K351" s="172"/>
      <c r="L351" s="213"/>
      <c r="M351" s="213"/>
      <c r="N351" s="213"/>
      <c r="O351" s="213"/>
      <c r="P351" s="213"/>
      <c r="Q351" s="213"/>
      <c r="R351" s="213"/>
      <c r="S351" s="213"/>
      <c r="T351" s="213"/>
      <c r="U351" s="213"/>
    </row>
    <row r="352" spans="2:21" hidden="1" x14ac:dyDescent="0.25">
      <c r="B352" s="200"/>
      <c r="C352" s="226">
        <f t="shared" si="19"/>
        <v>2.2999999999999937E-2</v>
      </c>
      <c r="D352" s="226">
        <f t="shared" si="20"/>
        <v>6.5938047339578789</v>
      </c>
      <c r="E352" s="226">
        <f t="shared" si="18"/>
        <v>6.0633561182758715</v>
      </c>
      <c r="F352" s="226">
        <f t="shared" si="17"/>
        <v>0.53</v>
      </c>
      <c r="H352" s="213"/>
      <c r="I352" s="213"/>
      <c r="J352" s="172"/>
      <c r="K352" s="172"/>
      <c r="L352" s="213"/>
      <c r="M352" s="213"/>
      <c r="N352" s="213"/>
      <c r="O352" s="213"/>
      <c r="P352" s="213"/>
      <c r="Q352" s="213"/>
      <c r="R352" s="213"/>
      <c r="S352" s="213"/>
      <c r="T352" s="213"/>
      <c r="U352" s="213"/>
    </row>
    <row r="353" spans="2:21" hidden="1" x14ac:dyDescent="0.25">
      <c r="B353" s="200"/>
      <c r="C353" s="226">
        <f t="shared" si="19"/>
        <v>2.2499999999999937E-2</v>
      </c>
      <c r="D353" s="226">
        <f t="shared" si="20"/>
        <v>6.6666666666666758</v>
      </c>
      <c r="E353" s="226">
        <f t="shared" si="18"/>
        <v>6.0605562511290474</v>
      </c>
      <c r="F353" s="226">
        <f t="shared" si="17"/>
        <v>0.60599999999999998</v>
      </c>
      <c r="H353" s="213"/>
      <c r="I353" s="213"/>
      <c r="J353" s="172"/>
      <c r="K353" s="172"/>
      <c r="L353" s="213"/>
      <c r="M353" s="213"/>
      <c r="N353" s="213"/>
      <c r="O353" s="213"/>
      <c r="P353" s="213"/>
      <c r="Q353" s="213"/>
      <c r="R353" s="213"/>
      <c r="S353" s="213"/>
      <c r="T353" s="213"/>
      <c r="U353" s="213"/>
    </row>
    <row r="354" spans="2:21" hidden="1" x14ac:dyDescent="0.25">
      <c r="B354" s="200"/>
      <c r="C354" s="226">
        <f t="shared" si="19"/>
        <v>2.1999999999999936E-2</v>
      </c>
      <c r="D354" s="226">
        <f t="shared" si="20"/>
        <v>6.7419986246324308</v>
      </c>
      <c r="E354" s="226">
        <f t="shared" si="18"/>
        <v>6.057670926496292</v>
      </c>
      <c r="F354" s="226">
        <f t="shared" si="17"/>
        <v>0.68400000000000005</v>
      </c>
      <c r="H354" s="213"/>
      <c r="I354" s="213"/>
      <c r="J354" s="172"/>
      <c r="K354" s="172"/>
      <c r="L354" s="213"/>
      <c r="M354" s="213"/>
      <c r="N354" s="213"/>
      <c r="O354" s="213"/>
      <c r="P354" s="213"/>
      <c r="Q354" s="213"/>
      <c r="R354" s="213"/>
      <c r="S354" s="213"/>
      <c r="T354" s="213"/>
      <c r="U354" s="213"/>
    </row>
    <row r="355" spans="2:21" hidden="1" x14ac:dyDescent="0.25">
      <c r="B355" s="200"/>
      <c r="C355" s="226">
        <f t="shared" si="19"/>
        <v>2.1499999999999936E-2</v>
      </c>
      <c r="D355" s="226">
        <f t="shared" si="20"/>
        <v>6.8199433947047448</v>
      </c>
      <c r="E355" s="226">
        <f t="shared" si="18"/>
        <v>6.0546955821969917</v>
      </c>
      <c r="F355" s="226">
        <f t="shared" si="17"/>
        <v>0.76500000000000001</v>
      </c>
      <c r="H355" s="213"/>
      <c r="I355" s="213"/>
      <c r="J355" s="172"/>
      <c r="K355" s="172"/>
      <c r="L355" s="213"/>
      <c r="M355" s="213"/>
      <c r="N355" s="213"/>
      <c r="O355" s="213"/>
      <c r="P355" s="213"/>
      <c r="Q355" s="213"/>
      <c r="R355" s="213"/>
      <c r="S355" s="213"/>
      <c r="T355" s="213"/>
      <c r="U355" s="213"/>
    </row>
    <row r="356" spans="2:21" hidden="1" x14ac:dyDescent="0.25">
      <c r="B356" s="200"/>
      <c r="C356" s="226">
        <f t="shared" si="19"/>
        <v>2.0999999999999935E-2</v>
      </c>
      <c r="D356" s="226">
        <f t="shared" si="20"/>
        <v>6.9006555934235525</v>
      </c>
      <c r="E356" s="226">
        <f t="shared" si="18"/>
        <v>6.0516253020345605</v>
      </c>
      <c r="F356" s="226">
        <f t="shared" si="17"/>
        <v>0.84899999999999998</v>
      </c>
      <c r="H356" s="213"/>
      <c r="I356" s="236"/>
      <c r="J356" s="226"/>
      <c r="K356" s="226"/>
      <c r="L356" s="230"/>
      <c r="M356" s="230"/>
      <c r="N356" s="230"/>
      <c r="O356" s="230"/>
      <c r="P356" s="230"/>
      <c r="Q356" s="230"/>
      <c r="R356" s="213"/>
      <c r="S356" s="213"/>
      <c r="T356" s="213"/>
      <c r="U356" s="213"/>
    </row>
    <row r="357" spans="2:21" hidden="1" x14ac:dyDescent="0.25">
      <c r="B357" s="200"/>
      <c r="C357" s="226">
        <f t="shared" si="19"/>
        <v>2.0499999999999935E-2</v>
      </c>
      <c r="D357" s="226">
        <f t="shared" si="20"/>
        <v>6.9843029576957925</v>
      </c>
      <c r="E357" s="226">
        <f t="shared" si="18"/>
        <v>6.0484547792871801</v>
      </c>
      <c r="F357" s="226">
        <f t="shared" si="17"/>
        <v>0.93600000000000005</v>
      </c>
      <c r="H357" s="213"/>
      <c r="I357" s="230"/>
      <c r="J357" s="226"/>
      <c r="K357" s="230"/>
      <c r="L357" s="230"/>
      <c r="M357" s="230"/>
      <c r="N357" s="230"/>
      <c r="O357" s="230"/>
      <c r="P357" s="230"/>
      <c r="Q357" s="230"/>
      <c r="R357" s="213"/>
      <c r="S357" s="213"/>
      <c r="T357" s="213"/>
      <c r="U357" s="213"/>
    </row>
    <row r="358" spans="2:21" hidden="1" x14ac:dyDescent="0.25">
      <c r="B358" s="200"/>
      <c r="C358" s="226">
        <f t="shared" si="19"/>
        <v>1.9999999999999934E-2</v>
      </c>
      <c r="D358" s="226">
        <f t="shared" si="20"/>
        <v>7.0710678118654862</v>
      </c>
      <c r="E358" s="226">
        <f t="shared" si="18"/>
        <v>6.045178275451625</v>
      </c>
      <c r="F358" s="226">
        <f t="shared" si="17"/>
        <v>1.026</v>
      </c>
      <c r="H358" s="213"/>
      <c r="I358" s="230"/>
      <c r="J358" s="226"/>
      <c r="K358" s="226"/>
      <c r="L358" s="230"/>
      <c r="M358" s="230"/>
      <c r="N358" s="230"/>
      <c r="O358" s="230"/>
      <c r="P358" s="230"/>
      <c r="Q358" s="230"/>
      <c r="R358" s="213"/>
      <c r="S358" s="213"/>
      <c r="T358" s="213"/>
      <c r="U358" s="213"/>
    </row>
    <row r="359" spans="2:21" hidden="1" x14ac:dyDescent="0.25">
      <c r="B359" s="200"/>
      <c r="C359" s="226">
        <f t="shared" si="19"/>
        <v>1.9499999999999934E-2</v>
      </c>
      <c r="D359" s="226">
        <f t="shared" si="20"/>
        <v>7.1611487403943412</v>
      </c>
      <c r="E359" s="226">
        <f t="shared" si="18"/>
        <v>6.041789573488562</v>
      </c>
      <c r="F359" s="226">
        <f t="shared" si="17"/>
        <v>1.119</v>
      </c>
      <c r="H359" s="213"/>
      <c r="I359" s="230"/>
      <c r="J359" s="230"/>
      <c r="K359" s="226"/>
      <c r="L359" s="226"/>
      <c r="M359" s="237"/>
      <c r="N359" s="230"/>
      <c r="O359" s="230"/>
      <c r="P359" s="230"/>
      <c r="Q359" s="230"/>
      <c r="R359" s="213"/>
      <c r="S359" s="213"/>
      <c r="T359" s="213"/>
      <c r="U359" s="213"/>
    </row>
    <row r="360" spans="2:21" hidden="1" x14ac:dyDescent="0.25">
      <c r="B360" s="200"/>
      <c r="C360" s="226">
        <f t="shared" si="19"/>
        <v>1.8999999999999934E-2</v>
      </c>
      <c r="D360" s="226">
        <f t="shared" si="20"/>
        <v>7.2547625011001298</v>
      </c>
      <c r="E360" s="226">
        <f t="shared" si="18"/>
        <v>6.0382819246762214</v>
      </c>
      <c r="F360" s="226">
        <f t="shared" si="17"/>
        <v>1.216</v>
      </c>
      <c r="H360" s="213"/>
      <c r="I360" s="230"/>
      <c r="J360" s="230"/>
      <c r="K360" s="226"/>
      <c r="L360" s="237"/>
      <c r="M360" s="237"/>
      <c r="N360" s="230"/>
      <c r="O360" s="230"/>
      <c r="P360" s="230"/>
      <c r="Q360" s="230"/>
      <c r="R360" s="213"/>
      <c r="S360" s="213"/>
      <c r="T360" s="213"/>
      <c r="U360" s="213"/>
    </row>
    <row r="361" spans="2:21" hidden="1" x14ac:dyDescent="0.25">
      <c r="B361" s="200"/>
      <c r="C361" s="226">
        <f t="shared" si="19"/>
        <v>1.8499999999999933E-2</v>
      </c>
      <c r="D361" s="226">
        <f t="shared" si="20"/>
        <v>7.3521462209380903</v>
      </c>
      <c r="E361" s="226">
        <f t="shared" si="18"/>
        <v>6.0346479880068484</v>
      </c>
      <c r="F361" s="226">
        <f t="shared" si="17"/>
        <v>1.3169999999999999</v>
      </c>
      <c r="H361" s="213"/>
      <c r="I361" s="236"/>
      <c r="J361" s="230"/>
      <c r="K361" s="226"/>
      <c r="L361" s="226"/>
      <c r="M361" s="230"/>
      <c r="N361" s="230"/>
      <c r="O361" s="230"/>
      <c r="P361" s="230"/>
      <c r="Q361" s="230"/>
      <c r="R361" s="213"/>
      <c r="S361" s="213"/>
      <c r="T361" s="213"/>
      <c r="U361" s="213"/>
    </row>
    <row r="362" spans="2:21" hidden="1" x14ac:dyDescent="0.25">
      <c r="B362" s="200"/>
      <c r="C362" s="226">
        <f t="shared" si="19"/>
        <v>1.7999999999999933E-2</v>
      </c>
      <c r="D362" s="226">
        <f t="shared" si="20"/>
        <v>7.4535599249993121</v>
      </c>
      <c r="E362" s="226">
        <f t="shared" si="18"/>
        <v>6.0308797608488645</v>
      </c>
      <c r="F362" s="226">
        <f t="shared" si="17"/>
        <v>1.423</v>
      </c>
      <c r="H362" s="213"/>
      <c r="I362" s="230"/>
      <c r="J362" s="226"/>
      <c r="K362" s="226"/>
      <c r="L362" s="226"/>
      <c r="M362" s="230"/>
      <c r="N362" s="230"/>
      <c r="O362" s="230"/>
      <c r="P362" s="230"/>
      <c r="Q362" s="230"/>
      <c r="R362" s="213"/>
      <c r="S362" s="213"/>
      <c r="T362" s="213"/>
      <c r="U362" s="213"/>
    </row>
    <row r="363" spans="2:21" hidden="1" x14ac:dyDescent="0.25">
      <c r="B363" s="200"/>
      <c r="C363" s="226">
        <f t="shared" si="19"/>
        <v>1.7499999999999932E-2</v>
      </c>
      <c r="D363" s="226">
        <f t="shared" si="20"/>
        <v>7.5592894601845595</v>
      </c>
      <c r="E363" s="226">
        <f t="shared" si="18"/>
        <v>6.0269684993371708</v>
      </c>
      <c r="F363" s="226">
        <f t="shared" si="17"/>
        <v>1.532</v>
      </c>
      <c r="H363" s="213"/>
      <c r="I363" s="230"/>
      <c r="J363" s="226"/>
      <c r="K363" s="226"/>
      <c r="L363" s="238"/>
      <c r="M363" s="230"/>
      <c r="N363" s="230"/>
      <c r="O363" s="230"/>
      <c r="P363" s="230"/>
      <c r="Q363" s="230"/>
      <c r="R363" s="213"/>
      <c r="S363" s="213"/>
      <c r="T363" s="213"/>
      <c r="U363" s="213"/>
    </row>
    <row r="364" spans="2:21" hidden="1" x14ac:dyDescent="0.25">
      <c r="B364" s="200"/>
      <c r="C364" s="226">
        <f t="shared" si="19"/>
        <v>1.6999999999999932E-2</v>
      </c>
      <c r="D364" s="226">
        <f t="shared" si="20"/>
        <v>7.6696498884737201</v>
      </c>
      <c r="E364" s="226">
        <f t="shared" si="18"/>
        <v>6.0229046266313437</v>
      </c>
      <c r="F364" s="226">
        <f t="shared" si="17"/>
        <v>1.647</v>
      </c>
      <c r="H364" s="213"/>
      <c r="I364" s="230"/>
      <c r="J364" s="230"/>
      <c r="K364" s="226"/>
      <c r="L364" s="239"/>
      <c r="M364" s="230"/>
      <c r="N364" s="230"/>
      <c r="O364" s="230"/>
      <c r="P364" s="230"/>
      <c r="Q364" s="230"/>
      <c r="R364" s="213"/>
      <c r="S364" s="213"/>
      <c r="T364" s="213"/>
      <c r="U364" s="213"/>
    </row>
    <row r="365" spans="2:21" hidden="1" x14ac:dyDescent="0.25">
      <c r="B365" s="200"/>
      <c r="C365" s="226">
        <f t="shared" si="19"/>
        <v>1.6499999999999931E-2</v>
      </c>
      <c r="D365" s="226">
        <f t="shared" si="20"/>
        <v>7.7849894416152452</v>
      </c>
      <c r="E365" s="226">
        <f t="shared" si="18"/>
        <v>6.0186776267794508</v>
      </c>
      <c r="F365" s="226">
        <f t="shared" si="17"/>
        <v>1.766</v>
      </c>
      <c r="H365" s="213"/>
      <c r="I365" s="230"/>
      <c r="J365" s="230"/>
      <c r="K365" s="230"/>
      <c r="L365" s="230"/>
      <c r="M365" s="230"/>
      <c r="N365" s="230"/>
      <c r="O365" s="230"/>
      <c r="P365" s="230"/>
      <c r="Q365" s="230"/>
      <c r="R365" s="213"/>
      <c r="S365" s="213"/>
      <c r="T365" s="213"/>
      <c r="U365" s="213"/>
    </row>
    <row r="366" spans="2:21" hidden="1" x14ac:dyDescent="0.25">
      <c r="B366" s="200"/>
      <c r="C366" s="226">
        <f t="shared" si="19"/>
        <v>1.5999999999999931E-2</v>
      </c>
      <c r="D366" s="226">
        <f t="shared" si="20"/>
        <v>7.9056941504209659</v>
      </c>
      <c r="E366" s="226">
        <f t="shared" si="18"/>
        <v>6.0142759214214268</v>
      </c>
      <c r="F366" s="226">
        <f t="shared" si="17"/>
        <v>1.891</v>
      </c>
      <c r="H366" s="213"/>
      <c r="I366" s="230"/>
      <c r="J366" s="230"/>
      <c r="K366" s="230"/>
      <c r="L366" s="230"/>
      <c r="M366" s="230"/>
      <c r="N366" s="230"/>
      <c r="O366" s="230"/>
      <c r="P366" s="230"/>
      <c r="Q366" s="230"/>
      <c r="R366" s="213"/>
      <c r="S366" s="213"/>
      <c r="T366" s="213"/>
      <c r="U366" s="213"/>
    </row>
    <row r="367" spans="2:21" hidden="1" x14ac:dyDescent="0.25">
      <c r="B367" s="200"/>
      <c r="C367" s="226">
        <f t="shared" si="19"/>
        <v>1.5499999999999931E-2</v>
      </c>
      <c r="D367" s="226">
        <f t="shared" si="20"/>
        <v>8.0321932890250061</v>
      </c>
      <c r="E367" s="226">
        <f t="shared" si="18"/>
        <v>6.00968672593046</v>
      </c>
      <c r="F367" s="226">
        <f t="shared" si="17"/>
        <v>2.0230000000000001</v>
      </c>
      <c r="H367" s="213"/>
      <c r="I367" s="230"/>
      <c r="J367" s="226"/>
      <c r="K367" s="226"/>
      <c r="L367" s="240"/>
      <c r="M367" s="230"/>
      <c r="N367" s="230"/>
      <c r="O367" s="230"/>
      <c r="P367" s="230"/>
      <c r="Q367" s="230"/>
      <c r="R367" s="213"/>
      <c r="S367" s="213"/>
      <c r="T367" s="213"/>
      <c r="U367" s="213"/>
    </row>
    <row r="368" spans="2:21" hidden="1" x14ac:dyDescent="0.25">
      <c r="B368" s="200"/>
      <c r="C368" s="226">
        <f t="shared" si="19"/>
        <v>1.499999999999993E-2</v>
      </c>
      <c r="D368" s="226">
        <f t="shared" si="20"/>
        <v>8.1649658092772786</v>
      </c>
      <c r="E368" s="226">
        <f t="shared" si="18"/>
        <v>6.0048958807839066</v>
      </c>
      <c r="F368" s="226">
        <f t="shared" si="17"/>
        <v>2.16</v>
      </c>
      <c r="H368" s="213"/>
      <c r="I368" s="230"/>
      <c r="J368" s="226"/>
      <c r="K368" s="226"/>
      <c r="L368" s="241"/>
      <c r="M368" s="230"/>
      <c r="N368" s="230"/>
      <c r="O368" s="230"/>
      <c r="P368" s="230"/>
      <c r="Q368" s="230"/>
      <c r="R368" s="213"/>
      <c r="S368" s="213"/>
      <c r="T368" s="213"/>
      <c r="U368" s="213"/>
    </row>
    <row r="369" spans="2:21" hidden="1" x14ac:dyDescent="0.25">
      <c r="B369" s="200"/>
      <c r="C369" s="226">
        <f t="shared" si="19"/>
        <v>1.449999999999993E-2</v>
      </c>
      <c r="D369" s="226">
        <f t="shared" si="20"/>
        <v>8.3045479853740165</v>
      </c>
      <c r="E369" s="226">
        <f t="shared" si="18"/>
        <v>5.9998876529231939</v>
      </c>
      <c r="F369" s="226">
        <f t="shared" si="17"/>
        <v>2.3050000000000002</v>
      </c>
      <c r="H369" s="213"/>
      <c r="I369" s="230"/>
      <c r="J369" s="226"/>
      <c r="K369" s="226"/>
      <c r="L369" s="241"/>
      <c r="M369" s="230"/>
      <c r="N369" s="230"/>
      <c r="O369" s="230"/>
      <c r="P369" s="230"/>
      <c r="Q369" s="230"/>
      <c r="R369" s="213"/>
      <c r="S369" s="213"/>
      <c r="T369" s="213"/>
      <c r="U369" s="213"/>
    </row>
    <row r="370" spans="2:21" hidden="1" x14ac:dyDescent="0.25">
      <c r="B370" s="200"/>
      <c r="C370" s="226">
        <f t="shared" si="19"/>
        <v>1.3999999999999929E-2</v>
      </c>
      <c r="D370" s="226">
        <f t="shared" si="20"/>
        <v>8.4515425472851877</v>
      </c>
      <c r="E370" s="226">
        <f t="shared" si="18"/>
        <v>5.994644500532246</v>
      </c>
      <c r="F370" s="226">
        <f t="shared" si="17"/>
        <v>2.4569999999999999</v>
      </c>
      <c r="H370" s="213"/>
      <c r="I370" s="230"/>
      <c r="J370" s="230"/>
      <c r="K370" s="226"/>
      <c r="L370" s="239"/>
      <c r="M370" s="230"/>
      <c r="N370" s="230"/>
      <c r="O370" s="230"/>
      <c r="P370" s="230"/>
      <c r="Q370" s="230"/>
      <c r="R370" s="213"/>
      <c r="S370" s="213"/>
      <c r="T370" s="213"/>
      <c r="U370" s="213"/>
    </row>
    <row r="371" spans="2:21" hidden="1" x14ac:dyDescent="0.25">
      <c r="B371" s="200"/>
      <c r="C371" s="226">
        <f t="shared" si="19"/>
        <v>1.3499999999999929E-2</v>
      </c>
      <c r="D371" s="226">
        <f t="shared" si="20"/>
        <v>8.6066296582387274</v>
      </c>
      <c r="E371" s="226">
        <f t="shared" si="18"/>
        <v>5.989146792936074</v>
      </c>
      <c r="F371" s="226">
        <f t="shared" si="17"/>
        <v>2.617</v>
      </c>
      <c r="H371" s="213"/>
      <c r="I371" s="213"/>
      <c r="J371" s="172"/>
      <c r="K371" s="172"/>
      <c r="L371" s="213"/>
      <c r="M371" s="213"/>
      <c r="N371" s="213"/>
      <c r="O371" s="213"/>
      <c r="P371" s="213"/>
      <c r="Q371" s="213"/>
      <c r="R371" s="213"/>
      <c r="S371" s="213"/>
      <c r="T371" s="213"/>
      <c r="U371" s="213"/>
    </row>
    <row r="372" spans="2:21" hidden="1" x14ac:dyDescent="0.25">
      <c r="B372" s="200"/>
      <c r="C372" s="226">
        <f t="shared" si="19"/>
        <v>1.2999999999999928E-2</v>
      </c>
      <c r="D372" s="226">
        <f t="shared" si="20"/>
        <v>8.770580193070316</v>
      </c>
      <c r="E372" s="226">
        <f t="shared" si="18"/>
        <v>5.9833724750570543</v>
      </c>
      <c r="F372" s="226">
        <f t="shared" si="17"/>
        <v>2.7869999999999999</v>
      </c>
      <c r="H372" s="213"/>
      <c r="I372" s="213"/>
      <c r="J372" s="172"/>
      <c r="K372" s="172"/>
      <c r="L372" s="213"/>
      <c r="M372" s="213"/>
      <c r="N372" s="213"/>
      <c r="O372" s="213"/>
      <c r="P372" s="213"/>
      <c r="Q372" s="213"/>
      <c r="R372" s="213"/>
      <c r="S372" s="213"/>
      <c r="T372" s="213"/>
      <c r="U372" s="213"/>
    </row>
    <row r="373" spans="2:21" hidden="1" x14ac:dyDescent="0.25">
      <c r="B373" s="200"/>
      <c r="C373" s="226">
        <f t="shared" si="19"/>
        <v>1.2499999999999928E-2</v>
      </c>
      <c r="D373" s="226">
        <f t="shared" si="20"/>
        <v>8.9442719099991841</v>
      </c>
      <c r="E373" s="226">
        <f t="shared" si="18"/>
        <v>5.9772966628719768</v>
      </c>
      <c r="F373" s="226">
        <f t="shared" si="17"/>
        <v>2.9670000000000001</v>
      </c>
      <c r="H373" s="213"/>
      <c r="I373" s="213"/>
      <c r="J373" s="172"/>
      <c r="K373" s="172"/>
      <c r="L373" s="213"/>
      <c r="M373" s="213"/>
      <c r="N373" s="213"/>
      <c r="O373" s="213"/>
      <c r="P373" s="213"/>
      <c r="Q373" s="213"/>
      <c r="R373" s="213"/>
      <c r="S373" s="213"/>
      <c r="T373" s="213"/>
      <c r="U373" s="213"/>
    </row>
    <row r="374" spans="2:21" hidden="1" x14ac:dyDescent="0.25">
      <c r="B374" s="200"/>
      <c r="C374" s="226">
        <f t="shared" si="19"/>
        <v>1.1999999999999927E-2</v>
      </c>
      <c r="D374" s="226">
        <f t="shared" si="20"/>
        <v>9.1287092917527968</v>
      </c>
      <c r="E374" s="226">
        <f t="shared" si="18"/>
        <v>5.9708911523134542</v>
      </c>
      <c r="F374" s="226">
        <f t="shared" si="17"/>
        <v>3.1579999999999999</v>
      </c>
      <c r="H374" s="213"/>
      <c r="I374" s="213"/>
      <c r="J374" s="172"/>
      <c r="K374" s="172"/>
      <c r="L374" s="213"/>
      <c r="M374" s="213"/>
      <c r="N374" s="213"/>
      <c r="O374" s="213"/>
      <c r="P374" s="213"/>
      <c r="Q374" s="213"/>
      <c r="R374" s="213"/>
      <c r="S374" s="213"/>
      <c r="T374" s="213"/>
      <c r="U374" s="213"/>
    </row>
    <row r="375" spans="2:21" hidden="1" x14ac:dyDescent="0.25">
      <c r="B375" s="200"/>
      <c r="C375" s="226">
        <f t="shared" si="19"/>
        <v>1.1499999999999927E-2</v>
      </c>
      <c r="D375" s="226">
        <f t="shared" si="20"/>
        <v>9.3250480824031676</v>
      </c>
      <c r="E375" s="226">
        <f t="shared" si="18"/>
        <v>5.9641238186603109</v>
      </c>
      <c r="F375" s="226">
        <f t="shared" si="17"/>
        <v>3.3610000000000002</v>
      </c>
      <c r="H375" s="213"/>
      <c r="I375" s="213"/>
      <c r="J375" s="172"/>
      <c r="K375" s="172"/>
      <c r="L375" s="213"/>
      <c r="M375" s="213"/>
      <c r="N375" s="213"/>
      <c r="O375" s="213"/>
      <c r="P375" s="213"/>
      <c r="Q375" s="213"/>
      <c r="R375" s="213"/>
      <c r="S375" s="213"/>
      <c r="T375" s="213"/>
      <c r="U375" s="213"/>
    </row>
    <row r="376" spans="2:21" hidden="1" x14ac:dyDescent="0.25">
      <c r="B376" s="200"/>
      <c r="C376" s="226">
        <f t="shared" si="19"/>
        <v>1.0999999999999927E-2</v>
      </c>
      <c r="D376" s="226">
        <f t="shared" si="20"/>
        <v>9.5346258924559546</v>
      </c>
      <c r="E376" s="226">
        <f t="shared" si="18"/>
        <v>5.9569578760898443</v>
      </c>
      <c r="F376" s="226">
        <f t="shared" si="17"/>
        <v>3.5779999999999998</v>
      </c>
      <c r="H376" s="213"/>
      <c r="I376" s="213"/>
      <c r="J376" s="172"/>
      <c r="K376" s="172"/>
      <c r="L376" s="213"/>
      <c r="M376" s="213"/>
      <c r="N376" s="213"/>
      <c r="O376" s="213"/>
      <c r="P376" s="213"/>
      <c r="Q376" s="213"/>
      <c r="R376" s="213"/>
      <c r="S376" s="213"/>
      <c r="T376" s="213"/>
      <c r="U376" s="213"/>
    </row>
    <row r="377" spans="2:21" hidden="1" x14ac:dyDescent="0.25">
      <c r="B377" s="200"/>
      <c r="C377" s="226">
        <f t="shared" si="19"/>
        <v>1.0499999999999926E-2</v>
      </c>
      <c r="D377" s="226">
        <f t="shared" si="20"/>
        <v>9.7590007294853649</v>
      </c>
      <c r="E377" s="226">
        <f t="shared" si="18"/>
        <v>5.9493509568743148</v>
      </c>
      <c r="F377" s="226">
        <f t="shared" si="17"/>
        <v>3.81</v>
      </c>
      <c r="H377" s="213"/>
      <c r="I377" s="213"/>
      <c r="J377" s="172"/>
      <c r="K377" s="172"/>
      <c r="L377" s="213"/>
      <c r="M377" s="213"/>
      <c r="N377" s="213"/>
      <c r="O377" s="213"/>
      <c r="P377" s="213"/>
      <c r="Q377" s="213"/>
      <c r="R377" s="213"/>
      <c r="S377" s="213"/>
      <c r="T377" s="213"/>
      <c r="U377" s="213"/>
    </row>
    <row r="378" spans="2:21" hidden="1" x14ac:dyDescent="0.25">
      <c r="B378" s="200"/>
      <c r="C378" s="226">
        <f t="shared" si="19"/>
        <v>9.9999999999999256E-3</v>
      </c>
      <c r="D378" s="226">
        <f t="shared" si="20"/>
        <v>10.000000000000037</v>
      </c>
      <c r="E378" s="226">
        <f t="shared" si="18"/>
        <v>5.9412539554272668</v>
      </c>
      <c r="F378" s="226">
        <f t="shared" si="17"/>
        <v>4.0590000000000002</v>
      </c>
      <c r="H378" s="213"/>
      <c r="I378" s="213"/>
      <c r="J378" s="172"/>
      <c r="K378" s="172"/>
      <c r="L378" s="213"/>
      <c r="M378" s="213"/>
      <c r="N378" s="213"/>
      <c r="O378" s="213"/>
      <c r="P378" s="213"/>
      <c r="Q378" s="213"/>
      <c r="R378" s="213"/>
      <c r="S378" s="213"/>
      <c r="T378" s="213"/>
      <c r="U378" s="213"/>
    </row>
    <row r="379" spans="2:21" hidden="1" x14ac:dyDescent="0.25">
      <c r="B379" s="200"/>
      <c r="C379" s="226">
        <f t="shared" si="19"/>
        <v>9.4999999999999252E-3</v>
      </c>
      <c r="D379" s="226">
        <f t="shared" si="20"/>
        <v>10.259783520851581</v>
      </c>
      <c r="E379" s="226">
        <f t="shared" si="18"/>
        <v>5.9326095621105317</v>
      </c>
      <c r="F379" s="226">
        <f t="shared" si="17"/>
        <v>4.327</v>
      </c>
      <c r="H379" s="213"/>
      <c r="I379" s="213"/>
      <c r="J379" s="172"/>
      <c r="K379" s="172"/>
      <c r="L379" s="213"/>
      <c r="M379" s="213"/>
      <c r="N379" s="213"/>
      <c r="O379" s="213"/>
      <c r="P379" s="213"/>
      <c r="Q379" s="213"/>
      <c r="R379" s="213"/>
      <c r="S379" s="213"/>
      <c r="T379" s="213"/>
      <c r="U379" s="213"/>
    </row>
    <row r="380" spans="2:21" hidden="1" x14ac:dyDescent="0.25">
      <c r="B380" s="200"/>
      <c r="C380" s="226">
        <f t="shared" si="19"/>
        <v>8.9999999999999247E-3</v>
      </c>
      <c r="D380" s="226">
        <f t="shared" si="20"/>
        <v>10.540925533894642</v>
      </c>
      <c r="E380" s="226">
        <f t="shared" si="18"/>
        <v>5.9233503824013836</v>
      </c>
      <c r="F380" s="226">
        <f t="shared" si="17"/>
        <v>4.6180000000000003</v>
      </c>
      <c r="H380" s="213"/>
      <c r="I380" s="213"/>
      <c r="J380" s="172"/>
      <c r="K380" s="172"/>
      <c r="L380" s="213"/>
      <c r="M380" s="213"/>
      <c r="N380" s="213"/>
      <c r="O380" s="213"/>
      <c r="P380" s="213"/>
      <c r="Q380" s="213"/>
      <c r="R380" s="172"/>
      <c r="S380" s="172"/>
      <c r="T380" s="172"/>
      <c r="U380" s="172"/>
    </row>
    <row r="381" spans="2:21" hidden="1" x14ac:dyDescent="0.25">
      <c r="B381" s="200"/>
      <c r="C381" s="226">
        <f>C380-0.0005</f>
        <v>8.4999999999999243E-3</v>
      </c>
      <c r="D381" s="226">
        <f t="shared" si="20"/>
        <v>10.846522890932858</v>
      </c>
      <c r="E381" s="226">
        <f t="shared" si="18"/>
        <v>5.9133964939414643</v>
      </c>
      <c r="F381" s="226">
        <f t="shared" si="17"/>
        <v>4.9329999999999998</v>
      </c>
      <c r="H381" s="213"/>
      <c r="I381" s="213"/>
      <c r="J381" s="172"/>
      <c r="K381" s="172"/>
      <c r="L381" s="213"/>
      <c r="M381" s="213"/>
      <c r="N381" s="213"/>
      <c r="O381" s="213"/>
      <c r="P381" s="213"/>
      <c r="Q381" s="213"/>
      <c r="R381" s="172"/>
      <c r="S381" s="172"/>
      <c r="T381" s="172"/>
      <c r="U381" s="172"/>
    </row>
    <row r="382" spans="2:21" hidden="1" x14ac:dyDescent="0.25">
      <c r="B382" s="200"/>
      <c r="C382" s="226">
        <f>C381-0.0005</f>
        <v>7.9999999999999238E-3</v>
      </c>
      <c r="D382" s="226">
        <f t="shared" si="20"/>
        <v>11.180339887499002</v>
      </c>
      <c r="E382" s="226">
        <f t="shared" si="18"/>
        <v>5.9026522294529142</v>
      </c>
      <c r="F382" s="226">
        <f t="shared" si="17"/>
        <v>5.2779999999999996</v>
      </c>
      <c r="H382" s="213"/>
      <c r="I382" s="213"/>
      <c r="J382" s="172"/>
      <c r="K382" s="172"/>
      <c r="L382" s="213"/>
      <c r="M382" s="213"/>
      <c r="N382" s="213"/>
      <c r="O382" s="213"/>
      <c r="P382" s="213"/>
      <c r="Q382" s="213"/>
      <c r="R382" s="172"/>
      <c r="S382" s="172"/>
      <c r="T382" s="172"/>
      <c r="U382" s="172"/>
    </row>
    <row r="383" spans="2:21" hidden="1" x14ac:dyDescent="0.25">
      <c r="B383" s="200"/>
      <c r="C383" s="226">
        <f>C382-0.0005</f>
        <v>7.4999999999999234E-3</v>
      </c>
      <c r="D383" s="226">
        <f t="shared" si="20"/>
        <v>11.547005383792575</v>
      </c>
      <c r="E383" s="226">
        <f t="shared" si="18"/>
        <v>5.8910018747477162</v>
      </c>
      <c r="F383" s="226">
        <f t="shared" si="17"/>
        <v>5.6559999999999997</v>
      </c>
      <c r="H383" s="213"/>
      <c r="I383" s="213"/>
      <c r="J383" s="172"/>
      <c r="K383" s="172"/>
      <c r="L383" s="213"/>
      <c r="M383" s="213"/>
      <c r="N383" s="213"/>
      <c r="O383" s="213"/>
      <c r="P383" s="213"/>
      <c r="Q383" s="213"/>
      <c r="R383" s="172"/>
      <c r="S383" s="242"/>
      <c r="T383" s="242"/>
      <c r="U383" s="242"/>
    </row>
    <row r="384" spans="2:21" hidden="1" x14ac:dyDescent="0.25">
      <c r="B384" s="200"/>
      <c r="C384" s="226">
        <f>C383-0.0005</f>
        <v>6.999999999999923E-3</v>
      </c>
      <c r="D384" s="226">
        <f t="shared" si="20"/>
        <v>11.952286093344002</v>
      </c>
      <c r="E384" s="226">
        <f t="shared" si="18"/>
        <v>5.878303816307767</v>
      </c>
      <c r="F384" s="226">
        <f t="shared" si="17"/>
        <v>6.0739999999999998</v>
      </c>
      <c r="H384" s="213"/>
      <c r="I384" s="213"/>
      <c r="J384" s="172"/>
      <c r="K384" s="172"/>
      <c r="L384" s="213"/>
      <c r="M384" s="213"/>
      <c r="N384" s="213"/>
      <c r="O384" s="213"/>
      <c r="P384" s="213"/>
      <c r="Q384" s="213"/>
      <c r="R384" s="213"/>
      <c r="S384" s="242"/>
      <c r="T384" s="242"/>
      <c r="U384" s="242"/>
    </row>
    <row r="385" spans="2:21" hidden="1" x14ac:dyDescent="0.25">
      <c r="B385" s="200"/>
      <c r="C385" s="172"/>
      <c r="H385" s="213"/>
      <c r="I385" s="213"/>
      <c r="J385" s="172"/>
      <c r="K385" s="172"/>
      <c r="L385" s="213"/>
      <c r="M385" s="213"/>
      <c r="N385" s="213"/>
      <c r="O385" s="213"/>
      <c r="P385" s="213"/>
      <c r="Q385" s="213"/>
      <c r="R385" s="213"/>
      <c r="S385" s="213"/>
      <c r="T385" s="213"/>
      <c r="U385" s="213"/>
    </row>
    <row r="386" spans="2:21" hidden="1" x14ac:dyDescent="0.25">
      <c r="B386" s="200"/>
      <c r="C386" s="172"/>
      <c r="H386" s="213"/>
      <c r="I386" s="213"/>
      <c r="J386" s="172"/>
      <c r="K386" s="172"/>
      <c r="L386" s="213"/>
      <c r="M386" s="213"/>
      <c r="N386" s="213"/>
      <c r="O386" s="213"/>
      <c r="P386" s="213"/>
      <c r="Q386" s="213"/>
      <c r="R386" s="213"/>
      <c r="S386" s="213"/>
      <c r="T386" s="213"/>
      <c r="U386" s="213"/>
    </row>
    <row r="387" spans="2:21" hidden="1" x14ac:dyDescent="0.25">
      <c r="B387" s="200"/>
      <c r="C387" s="172"/>
      <c r="N387" s="213"/>
      <c r="O387" s="213"/>
      <c r="P387" s="213"/>
      <c r="Q387" s="213"/>
      <c r="R387" s="172"/>
      <c r="S387" s="242"/>
      <c r="T387" s="213"/>
      <c r="U387" s="213"/>
    </row>
    <row r="388" spans="2:21" x14ac:dyDescent="0.25">
      <c r="B388" s="200"/>
      <c r="C388" s="172"/>
      <c r="N388" s="213"/>
      <c r="O388" s="213"/>
      <c r="P388" s="213"/>
      <c r="Q388" s="213"/>
      <c r="R388" s="213"/>
      <c r="S388" s="213"/>
      <c r="T388" s="213"/>
      <c r="U388" s="213"/>
    </row>
    <row r="389" spans="2:21" x14ac:dyDescent="0.25">
      <c r="B389" s="200"/>
      <c r="C389" s="172"/>
      <c r="N389" s="213"/>
      <c r="O389" s="213"/>
      <c r="P389" s="213"/>
      <c r="Q389" s="213"/>
      <c r="R389" s="213"/>
      <c r="S389" s="213"/>
      <c r="T389" s="213"/>
      <c r="U389" s="213"/>
    </row>
    <row r="390" spans="2:21" x14ac:dyDescent="0.25">
      <c r="B390" s="200"/>
      <c r="C390" s="172"/>
      <c r="N390" s="213"/>
      <c r="O390" s="213"/>
      <c r="P390" s="213"/>
      <c r="Q390" s="213"/>
      <c r="R390" s="213"/>
      <c r="S390" s="213"/>
      <c r="T390" s="213"/>
      <c r="U390" s="213"/>
    </row>
    <row r="391" spans="2:21" x14ac:dyDescent="0.25">
      <c r="B391" s="200"/>
      <c r="C391" s="172"/>
      <c r="N391" s="213"/>
      <c r="O391" s="213"/>
      <c r="P391" s="213"/>
      <c r="Q391" s="213"/>
      <c r="R391" s="213"/>
      <c r="S391" s="213"/>
      <c r="T391" s="213"/>
      <c r="U391" s="213"/>
    </row>
    <row r="392" spans="2:21" x14ac:dyDescent="0.25">
      <c r="B392" s="200"/>
      <c r="C392" s="172"/>
      <c r="G392" s="201"/>
      <c r="N392" s="213"/>
      <c r="O392" s="213"/>
      <c r="P392" s="213"/>
      <c r="Q392" s="213"/>
      <c r="R392" s="213"/>
      <c r="S392" s="213"/>
      <c r="T392" s="213"/>
      <c r="U392" s="213"/>
    </row>
    <row r="393" spans="2:21" x14ac:dyDescent="0.25">
      <c r="B393" s="200"/>
      <c r="C393" s="172"/>
      <c r="H393" s="213"/>
      <c r="I393" s="213"/>
      <c r="J393" s="172"/>
      <c r="K393" s="172"/>
      <c r="L393" s="213"/>
      <c r="M393" s="213"/>
      <c r="N393" s="213"/>
      <c r="O393" s="213"/>
      <c r="P393" s="213"/>
      <c r="Q393" s="213"/>
      <c r="R393" s="213"/>
      <c r="S393" s="213"/>
      <c r="T393" s="213"/>
      <c r="U393" s="213"/>
    </row>
    <row r="394" spans="2:21" x14ac:dyDescent="0.25">
      <c r="B394" s="200"/>
      <c r="C394" s="172"/>
      <c r="H394" s="213"/>
      <c r="I394" s="213"/>
      <c r="J394" s="172"/>
      <c r="K394" s="172"/>
      <c r="L394" s="213"/>
      <c r="M394" s="213"/>
      <c r="N394" s="213"/>
      <c r="O394" s="213"/>
      <c r="P394" s="213"/>
      <c r="Q394" s="213"/>
      <c r="R394" s="213"/>
      <c r="S394" s="213"/>
      <c r="T394" s="213"/>
      <c r="U394" s="213"/>
    </row>
    <row r="395" spans="2:21" x14ac:dyDescent="0.25">
      <c r="B395" s="200"/>
      <c r="C395" s="172"/>
      <c r="H395" s="213"/>
      <c r="I395" s="213"/>
      <c r="J395" s="172"/>
      <c r="K395" s="172"/>
      <c r="L395" s="213"/>
      <c r="M395" s="213"/>
      <c r="N395" s="213"/>
      <c r="O395" s="213"/>
      <c r="P395" s="213"/>
      <c r="Q395" s="213"/>
      <c r="R395" s="213"/>
      <c r="S395" s="213"/>
      <c r="T395" s="213"/>
      <c r="U395" s="213"/>
    </row>
    <row r="396" spans="2:21" x14ac:dyDescent="0.25">
      <c r="B396" s="200"/>
      <c r="C396" s="172"/>
      <c r="H396" s="213"/>
      <c r="I396" s="213"/>
      <c r="J396" s="172"/>
      <c r="K396" s="172"/>
      <c r="L396" s="213"/>
      <c r="M396" s="213"/>
      <c r="N396" s="213"/>
      <c r="O396" s="213"/>
      <c r="P396" s="213"/>
      <c r="Q396" s="213"/>
      <c r="R396" s="213"/>
      <c r="S396" s="213"/>
      <c r="T396" s="213"/>
      <c r="U396" s="213"/>
    </row>
    <row r="397" spans="2:21" x14ac:dyDescent="0.25">
      <c r="B397" s="200"/>
      <c r="C397" s="172"/>
      <c r="H397" s="213"/>
      <c r="I397" s="213"/>
      <c r="J397" s="172"/>
      <c r="K397" s="172"/>
      <c r="L397" s="213"/>
      <c r="M397" s="213"/>
      <c r="N397" s="213"/>
      <c r="O397" s="213"/>
      <c r="P397" s="213"/>
      <c r="Q397" s="213"/>
      <c r="R397" s="213"/>
      <c r="S397" s="213"/>
      <c r="T397" s="213"/>
      <c r="U397" s="213"/>
    </row>
    <row r="398" spans="2:21" x14ac:dyDescent="0.25">
      <c r="B398" s="200"/>
      <c r="C398" s="172"/>
      <c r="H398" s="213"/>
      <c r="I398" s="213"/>
      <c r="J398" s="172"/>
      <c r="K398" s="172"/>
      <c r="L398" s="213"/>
      <c r="M398" s="213"/>
      <c r="N398" s="213"/>
      <c r="O398" s="213"/>
      <c r="P398" s="213"/>
      <c r="Q398" s="213"/>
      <c r="R398" s="213"/>
      <c r="S398" s="213"/>
      <c r="T398" s="213"/>
      <c r="U398" s="213"/>
    </row>
    <row r="399" spans="2:21" x14ac:dyDescent="0.25">
      <c r="B399" s="200"/>
      <c r="C399" s="172"/>
      <c r="H399" s="213"/>
      <c r="I399" s="213"/>
      <c r="J399" s="172"/>
      <c r="K399" s="172"/>
      <c r="L399" s="213"/>
      <c r="M399" s="213"/>
      <c r="N399" s="213"/>
      <c r="O399" s="213"/>
      <c r="P399" s="213"/>
      <c r="Q399" s="213"/>
      <c r="R399" s="213"/>
      <c r="S399" s="213"/>
      <c r="T399" s="213"/>
      <c r="U399" s="213"/>
    </row>
    <row r="400" spans="2:21" x14ac:dyDescent="0.25">
      <c r="B400" s="200"/>
      <c r="C400" s="172"/>
      <c r="H400" s="213"/>
      <c r="I400" s="213"/>
      <c r="J400" s="172"/>
      <c r="K400" s="172"/>
      <c r="L400" s="213"/>
      <c r="M400" s="213"/>
      <c r="N400" s="213"/>
      <c r="O400" s="213"/>
      <c r="P400" s="213"/>
      <c r="Q400" s="213"/>
      <c r="R400" s="213"/>
      <c r="S400" s="213"/>
      <c r="T400" s="213"/>
      <c r="U400" s="213"/>
    </row>
    <row r="401" spans="2:21" x14ac:dyDescent="0.25">
      <c r="B401" s="200"/>
      <c r="C401" s="172"/>
      <c r="H401" s="213"/>
      <c r="I401" s="213"/>
      <c r="J401" s="172"/>
      <c r="K401" s="172"/>
      <c r="L401" s="213"/>
      <c r="M401" s="213"/>
      <c r="N401" s="213"/>
      <c r="O401" s="213"/>
      <c r="P401" s="213"/>
      <c r="Q401" s="213"/>
      <c r="R401" s="213"/>
      <c r="S401" s="213"/>
      <c r="T401" s="213"/>
      <c r="U401" s="213"/>
    </row>
    <row r="402" spans="2:21" x14ac:dyDescent="0.25">
      <c r="B402" s="200"/>
      <c r="C402" s="172"/>
      <c r="H402" s="213"/>
      <c r="I402" s="213"/>
      <c r="J402" s="172"/>
      <c r="K402" s="172"/>
      <c r="L402" s="213"/>
      <c r="M402" s="213"/>
      <c r="N402" s="213"/>
      <c r="O402" s="213"/>
      <c r="P402" s="213"/>
      <c r="Q402" s="213"/>
      <c r="R402" s="213"/>
      <c r="S402" s="213"/>
      <c r="T402" s="213"/>
      <c r="U402" s="213"/>
    </row>
    <row r="403" spans="2:21" x14ac:dyDescent="0.25">
      <c r="B403" s="200"/>
      <c r="C403" s="172"/>
      <c r="H403" s="213"/>
      <c r="I403" s="213"/>
      <c r="J403" s="172"/>
      <c r="K403" s="172"/>
      <c r="L403" s="213"/>
      <c r="M403" s="213"/>
      <c r="N403" s="213"/>
      <c r="O403" s="213"/>
      <c r="P403" s="213"/>
      <c r="Q403" s="213"/>
      <c r="R403" s="213"/>
      <c r="S403" s="213"/>
      <c r="T403" s="213"/>
      <c r="U403" s="213"/>
    </row>
    <row r="404" spans="2:21" x14ac:dyDescent="0.25">
      <c r="B404" s="200"/>
      <c r="C404" s="172"/>
      <c r="H404" s="213"/>
      <c r="I404" s="213"/>
      <c r="J404" s="172"/>
      <c r="K404" s="172"/>
      <c r="L404" s="213"/>
      <c r="M404" s="213"/>
      <c r="N404" s="213"/>
      <c r="O404" s="213"/>
      <c r="P404" s="213"/>
      <c r="Q404" s="213"/>
      <c r="R404" s="213"/>
      <c r="S404" s="213"/>
      <c r="T404" s="213"/>
      <c r="U404" s="213"/>
    </row>
    <row r="405" spans="2:21" x14ac:dyDescent="0.25">
      <c r="B405" s="200"/>
      <c r="C405" s="172"/>
      <c r="H405" s="213"/>
      <c r="I405" s="213"/>
      <c r="J405" s="172"/>
      <c r="K405" s="172"/>
      <c r="L405" s="213"/>
      <c r="M405" s="213"/>
      <c r="N405" s="213"/>
      <c r="O405" s="213"/>
      <c r="P405" s="213"/>
      <c r="Q405" s="213"/>
      <c r="R405" s="213"/>
      <c r="S405" s="213"/>
      <c r="T405" s="213"/>
      <c r="U405" s="213"/>
    </row>
    <row r="406" spans="2:21" x14ac:dyDescent="0.25">
      <c r="B406" s="200"/>
      <c r="C406" s="172"/>
      <c r="H406" s="213"/>
      <c r="I406" s="213"/>
      <c r="J406" s="172"/>
      <c r="K406" s="172"/>
      <c r="L406" s="213"/>
      <c r="M406" s="213"/>
      <c r="N406" s="213"/>
      <c r="O406" s="213"/>
      <c r="P406" s="213"/>
      <c r="Q406" s="213"/>
      <c r="R406" s="213"/>
      <c r="S406" s="213"/>
      <c r="T406" s="213"/>
      <c r="U406" s="213"/>
    </row>
    <row r="407" spans="2:21" x14ac:dyDescent="0.25">
      <c r="B407" s="200"/>
      <c r="C407" s="172"/>
      <c r="H407" s="213"/>
      <c r="I407" s="213"/>
      <c r="J407" s="172"/>
      <c r="K407" s="172"/>
      <c r="L407" s="213"/>
      <c r="M407" s="213"/>
      <c r="N407" s="213"/>
      <c r="O407" s="213"/>
      <c r="P407" s="213"/>
      <c r="Q407" s="213"/>
      <c r="R407" s="213"/>
      <c r="S407" s="213"/>
      <c r="T407" s="213"/>
      <c r="U407" s="213"/>
    </row>
    <row r="408" spans="2:21" x14ac:dyDescent="0.25">
      <c r="B408" s="200"/>
      <c r="C408" s="172"/>
      <c r="H408" s="213"/>
      <c r="I408" s="213"/>
      <c r="J408" s="172"/>
      <c r="K408" s="172"/>
      <c r="L408" s="213"/>
      <c r="M408" s="213"/>
      <c r="N408" s="213"/>
      <c r="O408" s="213"/>
      <c r="P408" s="213"/>
      <c r="Q408" s="213"/>
      <c r="R408" s="213"/>
      <c r="S408" s="213"/>
      <c r="T408" s="213"/>
      <c r="U408" s="213"/>
    </row>
    <row r="409" spans="2:21" x14ac:dyDescent="0.25">
      <c r="B409" s="200"/>
      <c r="C409" s="172"/>
      <c r="H409" s="213"/>
      <c r="I409" s="213"/>
      <c r="J409" s="172"/>
      <c r="K409" s="172"/>
      <c r="L409" s="213"/>
      <c r="M409" s="213"/>
      <c r="N409" s="213"/>
      <c r="O409" s="213"/>
      <c r="P409" s="213"/>
      <c r="Q409" s="213"/>
      <c r="R409" s="213"/>
      <c r="S409" s="213"/>
      <c r="T409" s="213"/>
      <c r="U409" s="213"/>
    </row>
    <row r="410" spans="2:21" x14ac:dyDescent="0.25">
      <c r="B410" s="200"/>
      <c r="C410" s="172"/>
      <c r="H410" s="213"/>
      <c r="I410" s="213"/>
      <c r="J410" s="172"/>
      <c r="K410" s="172"/>
      <c r="L410" s="213"/>
      <c r="M410" s="213"/>
      <c r="N410" s="213"/>
      <c r="O410" s="213"/>
      <c r="P410" s="213"/>
      <c r="Q410" s="213"/>
      <c r="R410" s="213"/>
      <c r="S410" s="213"/>
      <c r="T410" s="213"/>
      <c r="U410" s="213"/>
    </row>
    <row r="411" spans="2:21" x14ac:dyDescent="0.25">
      <c r="B411" s="200"/>
      <c r="C411" s="172"/>
      <c r="H411" s="213"/>
      <c r="I411" s="213"/>
      <c r="J411" s="172"/>
      <c r="K411" s="172"/>
      <c r="L411" s="213"/>
      <c r="M411" s="213"/>
      <c r="N411" s="213"/>
      <c r="O411" s="213"/>
      <c r="P411" s="213"/>
      <c r="Q411" s="213"/>
      <c r="R411" s="213"/>
      <c r="S411" s="213"/>
      <c r="T411" s="213"/>
      <c r="U411" s="213"/>
    </row>
    <row r="412" spans="2:21" x14ac:dyDescent="0.25">
      <c r="B412" s="200"/>
      <c r="C412" s="172"/>
      <c r="H412" s="213"/>
      <c r="I412" s="213"/>
      <c r="J412" s="172"/>
      <c r="K412" s="172"/>
      <c r="L412" s="213"/>
      <c r="M412" s="213"/>
      <c r="N412" s="213"/>
      <c r="O412" s="213"/>
      <c r="P412" s="213"/>
      <c r="Q412" s="213"/>
      <c r="R412" s="213"/>
      <c r="S412" s="213"/>
      <c r="T412" s="213"/>
      <c r="U412" s="213"/>
    </row>
    <row r="413" spans="2:21" x14ac:dyDescent="0.25">
      <c r="B413" s="200"/>
      <c r="C413" s="172"/>
      <c r="H413" s="213"/>
      <c r="I413" s="213"/>
      <c r="J413" s="172"/>
      <c r="K413" s="172"/>
      <c r="L413" s="213"/>
      <c r="M413" s="213"/>
      <c r="N413" s="213"/>
      <c r="O413" s="213"/>
      <c r="P413" s="213"/>
      <c r="Q413" s="213"/>
      <c r="R413" s="213"/>
      <c r="S413" s="213"/>
      <c r="T413" s="213"/>
      <c r="U413" s="213"/>
    </row>
    <row r="414" spans="2:21" x14ac:dyDescent="0.25">
      <c r="B414" s="200"/>
      <c r="C414" s="172"/>
      <c r="H414" s="213"/>
      <c r="I414" s="213"/>
      <c r="J414" s="172"/>
      <c r="K414" s="172"/>
      <c r="L414" s="213"/>
      <c r="M414" s="213"/>
      <c r="N414" s="213"/>
      <c r="O414" s="213"/>
      <c r="P414" s="213"/>
      <c r="Q414" s="213"/>
      <c r="R414" s="213"/>
      <c r="S414" s="213"/>
      <c r="T414" s="213"/>
      <c r="U414" s="213"/>
    </row>
    <row r="415" spans="2:21" x14ac:dyDescent="0.25">
      <c r="B415" s="200"/>
      <c r="C415" s="172"/>
      <c r="H415" s="213"/>
      <c r="I415" s="213"/>
      <c r="J415" s="172"/>
      <c r="K415" s="172"/>
      <c r="L415" s="213"/>
      <c r="M415" s="213"/>
      <c r="N415" s="213"/>
      <c r="O415" s="213"/>
      <c r="P415" s="213"/>
      <c r="Q415" s="213"/>
      <c r="R415" s="213"/>
      <c r="S415" s="213"/>
      <c r="T415" s="213"/>
      <c r="U415" s="213"/>
    </row>
    <row r="416" spans="2:21" x14ac:dyDescent="0.25">
      <c r="B416" s="200"/>
      <c r="C416" s="172"/>
      <c r="H416" s="213"/>
      <c r="I416" s="213"/>
      <c r="J416" s="172"/>
      <c r="K416" s="172"/>
      <c r="L416" s="213"/>
      <c r="M416" s="213"/>
      <c r="N416" s="213"/>
      <c r="O416" s="213"/>
      <c r="P416" s="213"/>
      <c r="Q416" s="213"/>
      <c r="R416" s="213"/>
      <c r="S416" s="213"/>
      <c r="T416" s="213"/>
      <c r="U416" s="213"/>
    </row>
    <row r="417" spans="2:21" x14ac:dyDescent="0.25">
      <c r="B417" s="200"/>
      <c r="C417" s="172"/>
      <c r="H417" s="213"/>
      <c r="I417" s="213"/>
      <c r="J417" s="172"/>
      <c r="K417" s="172"/>
      <c r="L417" s="213"/>
      <c r="M417" s="213"/>
      <c r="N417" s="213"/>
      <c r="O417" s="213"/>
      <c r="P417" s="213"/>
      <c r="Q417" s="213"/>
      <c r="R417" s="213"/>
      <c r="S417" s="213"/>
      <c r="T417" s="213"/>
      <c r="U417" s="213"/>
    </row>
    <row r="418" spans="2:21" x14ac:dyDescent="0.25">
      <c r="B418" s="200"/>
      <c r="C418" s="172"/>
      <c r="H418" s="213"/>
      <c r="I418" s="213"/>
      <c r="J418" s="172"/>
      <c r="K418" s="172"/>
      <c r="L418" s="213"/>
      <c r="M418" s="213"/>
      <c r="N418" s="213"/>
      <c r="O418" s="213"/>
      <c r="P418" s="213"/>
      <c r="Q418" s="213"/>
      <c r="R418" s="213"/>
      <c r="S418" s="213"/>
      <c r="T418" s="213"/>
      <c r="U418" s="213"/>
    </row>
    <row r="419" spans="2:21" x14ac:dyDescent="0.25">
      <c r="B419" s="200"/>
      <c r="C419" s="172"/>
      <c r="H419" s="213"/>
      <c r="I419" s="213"/>
      <c r="J419" s="172"/>
      <c r="K419" s="172"/>
      <c r="L419" s="213"/>
      <c r="M419" s="213"/>
      <c r="N419" s="213"/>
      <c r="O419" s="213"/>
      <c r="P419" s="213"/>
      <c r="Q419" s="213"/>
      <c r="R419" s="213"/>
      <c r="S419" s="213"/>
      <c r="T419" s="213"/>
      <c r="U419" s="213"/>
    </row>
    <row r="420" spans="2:21" x14ac:dyDescent="0.25">
      <c r="B420" s="200"/>
      <c r="C420" s="172"/>
      <c r="H420" s="213"/>
      <c r="I420" s="213"/>
      <c r="J420" s="172"/>
      <c r="K420" s="172"/>
      <c r="L420" s="213"/>
      <c r="M420" s="213"/>
      <c r="N420" s="213"/>
      <c r="O420" s="213"/>
      <c r="P420" s="213"/>
      <c r="Q420" s="213"/>
      <c r="R420" s="213"/>
      <c r="S420" s="213"/>
      <c r="T420" s="213"/>
      <c r="U420" s="213"/>
    </row>
    <row r="421" spans="2:21" x14ac:dyDescent="0.25">
      <c r="B421" s="200"/>
      <c r="C421" s="172"/>
      <c r="H421" s="213"/>
      <c r="I421" s="213"/>
      <c r="J421" s="172"/>
      <c r="K421" s="172"/>
      <c r="L421" s="213"/>
      <c r="M421" s="213"/>
      <c r="N421" s="213"/>
      <c r="O421" s="213"/>
      <c r="P421" s="213"/>
      <c r="Q421" s="213"/>
      <c r="R421" s="213"/>
      <c r="S421" s="213"/>
      <c r="T421" s="213"/>
      <c r="U421" s="213"/>
    </row>
    <row r="422" spans="2:21" x14ac:dyDescent="0.25">
      <c r="B422" s="200"/>
      <c r="C422" s="172"/>
      <c r="H422" s="213"/>
      <c r="I422" s="213"/>
      <c r="J422" s="172"/>
      <c r="K422" s="172"/>
      <c r="L422" s="213"/>
      <c r="M422" s="213"/>
      <c r="N422" s="213"/>
      <c r="O422" s="213"/>
      <c r="P422" s="213"/>
      <c r="Q422" s="213"/>
      <c r="R422" s="213"/>
      <c r="S422" s="213"/>
      <c r="T422" s="213"/>
      <c r="U422" s="213"/>
    </row>
    <row r="423" spans="2:21" x14ac:dyDescent="0.25">
      <c r="B423" s="200"/>
      <c r="C423" s="172"/>
      <c r="H423" s="213"/>
      <c r="I423" s="213"/>
      <c r="J423" s="172"/>
      <c r="K423" s="172"/>
      <c r="L423" s="213"/>
      <c r="M423" s="213"/>
      <c r="N423" s="213"/>
      <c r="O423" s="213"/>
      <c r="P423" s="213"/>
      <c r="Q423" s="213"/>
      <c r="R423" s="213"/>
      <c r="S423" s="213"/>
      <c r="T423" s="213"/>
      <c r="U423" s="213"/>
    </row>
    <row r="424" spans="2:21" x14ac:dyDescent="0.25">
      <c r="B424" s="200"/>
      <c r="C424" s="172"/>
      <c r="H424" s="213"/>
      <c r="I424" s="213"/>
      <c r="J424" s="172"/>
      <c r="K424" s="172"/>
      <c r="L424" s="213"/>
      <c r="M424" s="213"/>
      <c r="N424" s="213"/>
      <c r="O424" s="213"/>
      <c r="P424" s="213"/>
      <c r="Q424" s="213"/>
      <c r="R424" s="213"/>
      <c r="S424" s="213"/>
      <c r="T424" s="213"/>
      <c r="U424" s="213"/>
    </row>
    <row r="425" spans="2:21" x14ac:dyDescent="0.25">
      <c r="B425" s="200"/>
      <c r="C425" s="172"/>
      <c r="H425" s="213"/>
      <c r="I425" s="213"/>
      <c r="J425" s="172"/>
      <c r="K425" s="172"/>
      <c r="L425" s="213"/>
      <c r="M425" s="213"/>
      <c r="N425" s="213"/>
      <c r="O425" s="213"/>
      <c r="P425" s="213"/>
      <c r="Q425" s="213"/>
      <c r="R425" s="213"/>
      <c r="S425" s="213"/>
      <c r="T425" s="213"/>
      <c r="U425" s="213"/>
    </row>
    <row r="426" spans="2:21" x14ac:dyDescent="0.25">
      <c r="B426" s="200"/>
      <c r="C426" s="172"/>
      <c r="H426" s="213"/>
      <c r="I426" s="213"/>
      <c r="J426" s="213"/>
      <c r="K426" s="213"/>
      <c r="L426" s="213"/>
      <c r="M426" s="213"/>
      <c r="N426" s="213"/>
      <c r="O426" s="213"/>
      <c r="P426" s="213"/>
      <c r="Q426" s="213"/>
      <c r="R426" s="213"/>
      <c r="S426" s="213"/>
      <c r="T426" s="213"/>
      <c r="U426" s="213"/>
    </row>
    <row r="427" spans="2:21" x14ac:dyDescent="0.25">
      <c r="B427" s="200"/>
      <c r="C427" s="172"/>
      <c r="H427" s="213"/>
      <c r="I427" s="213"/>
      <c r="J427" s="213"/>
      <c r="K427" s="213"/>
      <c r="L427" s="213"/>
      <c r="M427" s="213"/>
      <c r="N427" s="213"/>
      <c r="O427" s="213"/>
      <c r="P427" s="213"/>
      <c r="Q427" s="213"/>
      <c r="R427" s="213"/>
      <c r="S427" s="213"/>
      <c r="T427" s="213"/>
      <c r="U427" s="213"/>
    </row>
    <row r="428" spans="2:21" x14ac:dyDescent="0.25">
      <c r="B428" s="200"/>
      <c r="C428" s="172"/>
      <c r="H428" s="213"/>
      <c r="I428" s="213"/>
      <c r="J428" s="213"/>
      <c r="K428" s="213"/>
      <c r="L428" s="213"/>
      <c r="M428" s="213"/>
      <c r="N428" s="213"/>
      <c r="O428" s="213"/>
      <c r="P428" s="213"/>
      <c r="Q428" s="213"/>
      <c r="R428" s="213"/>
      <c r="S428" s="213"/>
      <c r="T428" s="213"/>
      <c r="U428" s="213"/>
    </row>
    <row r="429" spans="2:21" x14ac:dyDescent="0.25">
      <c r="B429" s="200"/>
      <c r="C429" s="172"/>
      <c r="H429" s="213"/>
      <c r="I429" s="213"/>
      <c r="J429" s="213"/>
      <c r="K429" s="213"/>
      <c r="L429" s="213"/>
      <c r="M429" s="213"/>
      <c r="N429" s="213"/>
      <c r="O429" s="213"/>
      <c r="P429" s="213"/>
      <c r="Q429" s="213"/>
      <c r="R429" s="213"/>
      <c r="S429" s="213"/>
      <c r="T429" s="213"/>
      <c r="U429" s="213"/>
    </row>
    <row r="430" spans="2:21" x14ac:dyDescent="0.25">
      <c r="B430" s="200"/>
      <c r="C430" s="172"/>
      <c r="H430" s="213"/>
      <c r="I430" s="213"/>
      <c r="J430" s="213"/>
      <c r="K430" s="213"/>
      <c r="L430" s="213"/>
      <c r="M430" s="213"/>
      <c r="N430" s="213"/>
      <c r="O430" s="213"/>
      <c r="P430" s="213"/>
      <c r="Q430" s="213"/>
      <c r="R430" s="213"/>
      <c r="S430" s="213"/>
      <c r="T430" s="213"/>
      <c r="U430" s="213"/>
    </row>
    <row r="431" spans="2:21" x14ac:dyDescent="0.25">
      <c r="B431" s="200"/>
      <c r="C431" s="172"/>
      <c r="H431" s="213"/>
      <c r="I431" s="213"/>
      <c r="J431" s="213"/>
      <c r="K431" s="213"/>
      <c r="L431" s="213"/>
      <c r="M431" s="213"/>
      <c r="N431" s="213"/>
      <c r="O431" s="213"/>
      <c r="P431" s="213"/>
      <c r="Q431" s="213"/>
      <c r="R431" s="213"/>
      <c r="S431" s="213"/>
      <c r="T431" s="213"/>
      <c r="U431" s="213"/>
    </row>
    <row r="432" spans="2:21" x14ac:dyDescent="0.25">
      <c r="B432" s="200"/>
      <c r="C432" s="172"/>
      <c r="H432" s="213"/>
      <c r="I432" s="213"/>
      <c r="J432" s="213"/>
      <c r="K432" s="213"/>
      <c r="L432" s="213"/>
      <c r="M432" s="213"/>
      <c r="N432" s="213"/>
      <c r="O432" s="213"/>
      <c r="P432" s="213"/>
      <c r="Q432" s="213"/>
      <c r="R432" s="213"/>
      <c r="S432" s="213"/>
      <c r="T432" s="213"/>
      <c r="U432" s="213"/>
    </row>
    <row r="433" spans="2:21" x14ac:dyDescent="0.25">
      <c r="B433" s="200"/>
      <c r="C433" s="172"/>
      <c r="H433" s="213"/>
      <c r="I433" s="213"/>
      <c r="J433" s="213"/>
      <c r="K433" s="213"/>
      <c r="L433" s="213"/>
      <c r="M433" s="213"/>
      <c r="N433" s="213"/>
      <c r="O433" s="213"/>
      <c r="P433" s="213"/>
      <c r="Q433" s="213"/>
      <c r="R433" s="213"/>
      <c r="S433" s="213"/>
      <c r="T433" s="213"/>
      <c r="U433" s="213"/>
    </row>
    <row r="434" spans="2:21" x14ac:dyDescent="0.25">
      <c r="B434" s="200"/>
      <c r="C434" s="172"/>
      <c r="H434" s="213"/>
      <c r="I434" s="213"/>
      <c r="J434" s="213"/>
      <c r="K434" s="213"/>
      <c r="L434" s="213"/>
      <c r="M434" s="213"/>
      <c r="N434" s="213"/>
      <c r="O434" s="213"/>
      <c r="P434" s="213"/>
      <c r="Q434" s="213"/>
      <c r="R434" s="213"/>
      <c r="S434" s="213"/>
      <c r="T434" s="213"/>
      <c r="U434" s="213"/>
    </row>
    <row r="435" spans="2:21" x14ac:dyDescent="0.25">
      <c r="B435" s="200"/>
      <c r="C435" s="172"/>
      <c r="H435" s="213"/>
      <c r="I435" s="213"/>
      <c r="J435" s="213"/>
      <c r="K435" s="213"/>
      <c r="L435" s="213"/>
      <c r="M435" s="213"/>
      <c r="N435" s="213"/>
      <c r="O435" s="213"/>
      <c r="P435" s="213"/>
      <c r="Q435" s="213"/>
      <c r="R435" s="213"/>
      <c r="S435" s="213"/>
      <c r="T435" s="213"/>
      <c r="U435" s="213"/>
    </row>
    <row r="436" spans="2:21" x14ac:dyDescent="0.25">
      <c r="B436" s="200"/>
      <c r="C436" s="172"/>
      <c r="H436" s="213"/>
      <c r="I436" s="213"/>
      <c r="J436" s="213"/>
      <c r="K436" s="213"/>
      <c r="L436" s="213"/>
      <c r="M436" s="213"/>
      <c r="N436" s="213"/>
      <c r="O436" s="213"/>
      <c r="P436" s="213"/>
      <c r="Q436" s="213"/>
      <c r="R436" s="213"/>
      <c r="S436" s="213"/>
      <c r="T436" s="213"/>
      <c r="U436" s="213"/>
    </row>
    <row r="437" spans="2:21" x14ac:dyDescent="0.25">
      <c r="B437" s="200"/>
      <c r="C437" s="172"/>
      <c r="H437" s="213"/>
      <c r="I437" s="213"/>
      <c r="J437" s="213"/>
      <c r="K437" s="213"/>
      <c r="L437" s="213"/>
      <c r="M437" s="213"/>
      <c r="N437" s="213"/>
      <c r="O437" s="213"/>
      <c r="P437" s="213"/>
      <c r="Q437" s="213"/>
      <c r="R437" s="213"/>
      <c r="S437" s="213"/>
      <c r="T437" s="213"/>
      <c r="U437" s="213"/>
    </row>
    <row r="438" spans="2:21" x14ac:dyDescent="0.25">
      <c r="B438" s="200"/>
      <c r="C438" s="172"/>
      <c r="H438" s="213"/>
      <c r="I438" s="213"/>
      <c r="J438" s="213"/>
      <c r="K438" s="213"/>
      <c r="L438" s="213"/>
      <c r="M438" s="213"/>
      <c r="N438" s="213"/>
      <c r="O438" s="213"/>
      <c r="P438" s="213"/>
      <c r="Q438" s="213"/>
      <c r="R438" s="213"/>
      <c r="S438" s="213"/>
      <c r="T438" s="213"/>
      <c r="U438" s="213"/>
    </row>
    <row r="439" spans="2:21" x14ac:dyDescent="0.25">
      <c r="B439" s="200"/>
      <c r="C439" s="172"/>
      <c r="H439" s="213"/>
      <c r="I439" s="213"/>
      <c r="J439" s="213"/>
      <c r="K439" s="213"/>
      <c r="L439" s="213"/>
      <c r="M439" s="213"/>
      <c r="N439" s="213"/>
      <c r="O439" s="213"/>
      <c r="P439" s="213"/>
      <c r="Q439" s="213"/>
      <c r="R439" s="213"/>
      <c r="S439" s="213"/>
      <c r="T439" s="213"/>
      <c r="U439" s="213"/>
    </row>
    <row r="440" spans="2:21" x14ac:dyDescent="0.25">
      <c r="B440" s="200"/>
      <c r="C440" s="172"/>
      <c r="H440" s="213"/>
      <c r="I440" s="213"/>
      <c r="J440" s="213"/>
      <c r="K440" s="213"/>
      <c r="L440" s="213"/>
      <c r="M440" s="213"/>
      <c r="N440" s="213"/>
      <c r="O440" s="213"/>
      <c r="P440" s="213"/>
      <c r="Q440" s="213"/>
      <c r="R440" s="213"/>
      <c r="S440" s="213"/>
      <c r="T440" s="213"/>
      <c r="U440" s="213"/>
    </row>
    <row r="441" spans="2:21" x14ac:dyDescent="0.25">
      <c r="B441" s="200"/>
      <c r="C441" s="172"/>
      <c r="H441" s="213"/>
      <c r="I441" s="213"/>
      <c r="J441" s="213"/>
      <c r="K441" s="213"/>
      <c r="L441" s="213"/>
      <c r="M441" s="213"/>
      <c r="N441" s="213"/>
      <c r="O441" s="213"/>
      <c r="P441" s="213"/>
      <c r="Q441" s="213"/>
      <c r="R441" s="213"/>
      <c r="S441" s="213"/>
      <c r="T441" s="213"/>
      <c r="U441" s="213"/>
    </row>
    <row r="442" spans="2:21" x14ac:dyDescent="0.25">
      <c r="B442" s="200"/>
      <c r="C442" s="172"/>
      <c r="H442" s="213"/>
      <c r="I442" s="213"/>
      <c r="J442" s="213"/>
      <c r="K442" s="213"/>
      <c r="L442" s="213"/>
      <c r="M442" s="213"/>
      <c r="N442" s="213"/>
      <c r="O442" s="213"/>
      <c r="P442" s="213"/>
      <c r="Q442" s="213"/>
      <c r="R442" s="213"/>
      <c r="S442" s="213"/>
      <c r="T442" s="213"/>
      <c r="U442" s="213"/>
    </row>
    <row r="443" spans="2:21" x14ac:dyDescent="0.25">
      <c r="B443" s="200"/>
      <c r="C443" s="172"/>
      <c r="H443" s="213"/>
      <c r="I443" s="213"/>
      <c r="J443" s="213"/>
      <c r="K443" s="213"/>
      <c r="L443" s="213"/>
      <c r="M443" s="213"/>
      <c r="N443" s="213"/>
      <c r="O443" s="213"/>
      <c r="P443" s="213"/>
      <c r="Q443" s="213"/>
      <c r="R443" s="213"/>
      <c r="S443" s="213"/>
      <c r="T443" s="213"/>
      <c r="U443" s="213"/>
    </row>
    <row r="444" spans="2:21" x14ac:dyDescent="0.25">
      <c r="B444" s="200"/>
      <c r="C444" s="172"/>
      <c r="H444" s="213"/>
      <c r="I444" s="213"/>
      <c r="J444" s="213"/>
      <c r="K444" s="213"/>
      <c r="L444" s="213"/>
      <c r="M444" s="213"/>
      <c r="N444" s="213"/>
      <c r="O444" s="213"/>
      <c r="P444" s="213"/>
      <c r="Q444" s="213"/>
      <c r="R444" s="213"/>
      <c r="S444" s="213"/>
      <c r="T444" s="213"/>
      <c r="U444" s="213"/>
    </row>
    <row r="445" spans="2:21" x14ac:dyDescent="0.25">
      <c r="B445" s="200"/>
      <c r="C445" s="172"/>
      <c r="H445" s="213"/>
      <c r="I445" s="213"/>
      <c r="J445" s="213"/>
      <c r="K445" s="213"/>
      <c r="L445" s="213"/>
      <c r="M445" s="213"/>
      <c r="N445" s="213"/>
      <c r="O445" s="213"/>
      <c r="P445" s="213"/>
      <c r="Q445" s="213"/>
      <c r="R445" s="213"/>
      <c r="S445" s="213"/>
      <c r="T445" s="213"/>
      <c r="U445" s="213"/>
    </row>
    <row r="446" spans="2:21" x14ac:dyDescent="0.25">
      <c r="B446" s="200"/>
      <c r="C446" s="172"/>
      <c r="H446" s="213"/>
      <c r="I446" s="213"/>
      <c r="J446" s="213"/>
      <c r="K446" s="213"/>
      <c r="L446" s="213"/>
      <c r="M446" s="213"/>
      <c r="N446" s="213"/>
      <c r="O446" s="213"/>
      <c r="P446" s="213"/>
      <c r="Q446" s="213"/>
      <c r="R446" s="213"/>
      <c r="S446" s="213"/>
      <c r="T446" s="213"/>
      <c r="U446" s="213"/>
    </row>
    <row r="447" spans="2:21" x14ac:dyDescent="0.25">
      <c r="B447" s="200"/>
      <c r="C447" s="172"/>
      <c r="H447" s="213"/>
      <c r="I447" s="213"/>
      <c r="J447" s="213"/>
      <c r="K447" s="213"/>
      <c r="L447" s="213"/>
      <c r="M447" s="213"/>
      <c r="N447" s="213"/>
      <c r="O447" s="213"/>
      <c r="P447" s="213"/>
      <c r="Q447" s="213"/>
      <c r="R447" s="213"/>
      <c r="S447" s="213"/>
      <c r="T447" s="213"/>
      <c r="U447" s="213"/>
    </row>
    <row r="448" spans="2:21" x14ac:dyDescent="0.25">
      <c r="B448" s="200"/>
      <c r="C448" s="172"/>
      <c r="H448" s="213"/>
      <c r="I448" s="213"/>
      <c r="J448" s="213"/>
      <c r="K448" s="213"/>
      <c r="L448" s="213"/>
      <c r="M448" s="213"/>
      <c r="N448" s="213"/>
      <c r="O448" s="213"/>
      <c r="P448" s="213"/>
      <c r="Q448" s="213"/>
      <c r="R448" s="213"/>
      <c r="S448" s="213"/>
      <c r="T448" s="213"/>
      <c r="U448" s="213"/>
    </row>
    <row r="449" spans="2:21" x14ac:dyDescent="0.25">
      <c r="B449" s="200"/>
      <c r="C449" s="172"/>
      <c r="H449" s="213"/>
      <c r="I449" s="213"/>
      <c r="J449" s="213"/>
      <c r="K449" s="213"/>
      <c r="L449" s="213"/>
      <c r="M449" s="213"/>
      <c r="N449" s="213"/>
      <c r="O449" s="213"/>
      <c r="P449" s="213"/>
      <c r="Q449" s="213"/>
      <c r="R449" s="213"/>
      <c r="S449" s="213"/>
      <c r="T449" s="213"/>
      <c r="U449" s="213"/>
    </row>
    <row r="450" spans="2:21" x14ac:dyDescent="0.25">
      <c r="B450" s="200"/>
      <c r="C450" s="172"/>
      <c r="H450" s="213"/>
      <c r="I450" s="213"/>
      <c r="J450" s="213"/>
      <c r="K450" s="213"/>
      <c r="L450" s="213"/>
      <c r="M450" s="213"/>
      <c r="N450" s="213"/>
      <c r="O450" s="213"/>
      <c r="P450" s="213"/>
      <c r="Q450" s="213"/>
      <c r="R450" s="213"/>
      <c r="S450" s="213"/>
      <c r="T450" s="213"/>
      <c r="U450" s="213"/>
    </row>
    <row r="451" spans="2:21" x14ac:dyDescent="0.25">
      <c r="B451" s="200"/>
      <c r="C451" s="172"/>
      <c r="H451" s="213"/>
      <c r="I451" s="213"/>
      <c r="J451" s="213"/>
      <c r="K451" s="213"/>
      <c r="L451" s="213"/>
      <c r="M451" s="213"/>
      <c r="N451" s="213"/>
      <c r="O451" s="213"/>
      <c r="P451" s="213"/>
      <c r="Q451" s="213"/>
      <c r="R451" s="213"/>
      <c r="S451" s="213"/>
      <c r="T451" s="213"/>
      <c r="U451" s="213"/>
    </row>
    <row r="452" spans="2:21" x14ac:dyDescent="0.25">
      <c r="B452" s="200"/>
      <c r="C452" s="172"/>
      <c r="H452" s="213"/>
      <c r="I452" s="213"/>
      <c r="J452" s="213"/>
      <c r="K452" s="213"/>
      <c r="L452" s="213"/>
      <c r="M452" s="213"/>
      <c r="N452" s="213"/>
      <c r="O452" s="213"/>
      <c r="P452" s="213"/>
      <c r="Q452" s="213"/>
      <c r="R452" s="213"/>
      <c r="S452" s="213"/>
      <c r="T452" s="213"/>
      <c r="U452" s="213"/>
    </row>
    <row r="453" spans="2:21" x14ac:dyDescent="0.25">
      <c r="B453" s="200"/>
      <c r="C453" s="172"/>
      <c r="H453" s="213"/>
      <c r="I453" s="213"/>
      <c r="J453" s="213"/>
      <c r="K453" s="213"/>
      <c r="L453" s="213"/>
      <c r="M453" s="213"/>
      <c r="N453" s="213"/>
      <c r="O453" s="213"/>
      <c r="P453" s="213"/>
      <c r="Q453" s="213"/>
      <c r="R453" s="213"/>
      <c r="S453" s="213"/>
      <c r="T453" s="213"/>
      <c r="U453" s="213"/>
    </row>
    <row r="454" spans="2:21" x14ac:dyDescent="0.25">
      <c r="B454" s="200"/>
      <c r="C454" s="172"/>
      <c r="H454" s="213"/>
      <c r="I454" s="213"/>
      <c r="J454" s="213"/>
      <c r="K454" s="213"/>
      <c r="L454" s="213"/>
      <c r="M454" s="213"/>
      <c r="N454" s="213"/>
      <c r="O454" s="213"/>
      <c r="P454" s="213"/>
      <c r="Q454" s="213"/>
      <c r="R454" s="213"/>
      <c r="S454" s="213"/>
      <c r="T454" s="213"/>
      <c r="U454" s="213"/>
    </row>
    <row r="455" spans="2:21" x14ac:dyDescent="0.25">
      <c r="B455" s="200"/>
      <c r="C455" s="172"/>
      <c r="H455" s="213"/>
      <c r="I455" s="213"/>
      <c r="J455" s="213"/>
      <c r="K455" s="213"/>
      <c r="L455" s="213"/>
      <c r="M455" s="213"/>
      <c r="N455" s="213"/>
      <c r="O455" s="213"/>
      <c r="P455" s="213"/>
      <c r="Q455" s="213"/>
      <c r="R455" s="213"/>
      <c r="S455" s="213"/>
      <c r="T455" s="213"/>
      <c r="U455" s="213"/>
    </row>
    <row r="456" spans="2:21" x14ac:dyDescent="0.25">
      <c r="B456" s="200"/>
      <c r="C456" s="172"/>
      <c r="H456" s="213"/>
      <c r="I456" s="213"/>
      <c r="J456" s="213"/>
      <c r="K456" s="213"/>
      <c r="L456" s="213"/>
      <c r="M456" s="213"/>
      <c r="N456" s="213"/>
      <c r="O456" s="213"/>
      <c r="P456" s="213"/>
      <c r="Q456" s="213"/>
      <c r="R456" s="213"/>
      <c r="S456" s="213"/>
      <c r="T456" s="213"/>
      <c r="U456" s="213"/>
    </row>
    <row r="457" spans="2:21" x14ac:dyDescent="0.25">
      <c r="B457" s="200"/>
      <c r="C457" s="172"/>
      <c r="H457" s="213"/>
      <c r="I457" s="213"/>
      <c r="J457" s="213"/>
      <c r="K457" s="213"/>
      <c r="L457" s="213"/>
      <c r="M457" s="213"/>
      <c r="N457" s="213"/>
      <c r="O457" s="213"/>
      <c r="P457" s="213"/>
      <c r="Q457" s="213"/>
      <c r="R457" s="213"/>
      <c r="S457" s="213"/>
      <c r="T457" s="213"/>
      <c r="U457" s="213"/>
    </row>
    <row r="458" spans="2:21" x14ac:dyDescent="0.25">
      <c r="B458" s="200"/>
      <c r="C458" s="172"/>
      <c r="H458" s="213"/>
      <c r="I458" s="213"/>
      <c r="J458" s="213"/>
      <c r="K458" s="213"/>
      <c r="L458" s="213"/>
      <c r="M458" s="213"/>
      <c r="N458" s="213"/>
      <c r="O458" s="213"/>
      <c r="P458" s="213"/>
      <c r="Q458" s="213"/>
      <c r="R458" s="213"/>
      <c r="S458" s="213"/>
      <c r="T458" s="213"/>
      <c r="U458" s="213"/>
    </row>
    <row r="459" spans="2:21" x14ac:dyDescent="0.25">
      <c r="B459" s="200"/>
      <c r="C459" s="172"/>
      <c r="H459" s="213"/>
      <c r="I459" s="213"/>
      <c r="J459" s="213"/>
      <c r="K459" s="213"/>
      <c r="L459" s="213"/>
      <c r="M459" s="213"/>
      <c r="N459" s="213"/>
      <c r="O459" s="213"/>
      <c r="P459" s="213"/>
      <c r="Q459" s="213"/>
      <c r="R459" s="213"/>
      <c r="S459" s="213"/>
      <c r="T459" s="213"/>
      <c r="U459" s="213"/>
    </row>
    <row r="460" spans="2:21" x14ac:dyDescent="0.25">
      <c r="B460" s="200"/>
      <c r="C460" s="172"/>
      <c r="H460" s="213"/>
      <c r="I460" s="213"/>
      <c r="J460" s="213"/>
      <c r="K460" s="213"/>
      <c r="L460" s="213"/>
      <c r="M460" s="213"/>
      <c r="N460" s="213"/>
      <c r="O460" s="213"/>
      <c r="P460" s="213"/>
      <c r="Q460" s="213"/>
      <c r="R460" s="213"/>
      <c r="S460" s="213"/>
      <c r="T460" s="213"/>
      <c r="U460" s="213"/>
    </row>
    <row r="461" spans="2:21" x14ac:dyDescent="0.25">
      <c r="B461" s="200"/>
      <c r="C461" s="172"/>
      <c r="H461" s="213"/>
      <c r="I461" s="213"/>
      <c r="J461" s="213"/>
      <c r="K461" s="213"/>
      <c r="L461" s="213"/>
      <c r="M461" s="213"/>
      <c r="N461" s="213"/>
      <c r="O461" s="213"/>
      <c r="P461" s="213"/>
      <c r="Q461" s="213"/>
      <c r="R461" s="213"/>
      <c r="S461" s="213"/>
      <c r="T461" s="213"/>
      <c r="U461" s="213"/>
    </row>
    <row r="462" spans="2:21" x14ac:dyDescent="0.25">
      <c r="B462" s="200"/>
      <c r="C462" s="172"/>
      <c r="H462" s="213"/>
      <c r="I462" s="213"/>
      <c r="J462" s="213"/>
      <c r="K462" s="213"/>
      <c r="L462" s="213"/>
      <c r="M462" s="213"/>
      <c r="N462" s="213"/>
      <c r="O462" s="213"/>
      <c r="P462" s="213"/>
      <c r="Q462" s="213"/>
      <c r="R462" s="213"/>
      <c r="S462" s="213"/>
      <c r="T462" s="213"/>
      <c r="U462" s="213"/>
    </row>
    <row r="463" spans="2:21" x14ac:dyDescent="0.25">
      <c r="B463" s="200"/>
      <c r="C463" s="172"/>
      <c r="H463" s="213"/>
      <c r="I463" s="213"/>
      <c r="J463" s="213"/>
      <c r="K463" s="213"/>
      <c r="L463" s="213"/>
      <c r="M463" s="213"/>
      <c r="N463" s="213"/>
      <c r="O463" s="213"/>
      <c r="P463" s="213"/>
      <c r="Q463" s="213"/>
      <c r="R463" s="213"/>
      <c r="S463" s="213"/>
      <c r="T463" s="213"/>
      <c r="U463" s="213"/>
    </row>
    <row r="464" spans="2:21" x14ac:dyDescent="0.25">
      <c r="B464" s="200"/>
      <c r="C464" s="172"/>
      <c r="H464" s="213"/>
      <c r="I464" s="213"/>
      <c r="J464" s="213"/>
      <c r="K464" s="213"/>
      <c r="L464" s="213"/>
      <c r="M464" s="213"/>
      <c r="N464" s="213"/>
      <c r="O464" s="213"/>
      <c r="P464" s="213"/>
      <c r="Q464" s="213"/>
      <c r="R464" s="213"/>
      <c r="S464" s="213"/>
      <c r="T464" s="213"/>
      <c r="U464" s="213"/>
    </row>
    <row r="465" spans="3:21" x14ac:dyDescent="0.25">
      <c r="C465" s="172"/>
      <c r="H465" s="213"/>
      <c r="I465" s="213"/>
      <c r="J465" s="213"/>
      <c r="K465" s="213"/>
      <c r="L465" s="213"/>
      <c r="M465" s="213"/>
      <c r="N465" s="213"/>
      <c r="O465" s="213"/>
      <c r="P465" s="213"/>
      <c r="Q465" s="213"/>
      <c r="R465" s="213"/>
      <c r="S465" s="213"/>
      <c r="T465" s="213"/>
      <c r="U465" s="213"/>
    </row>
    <row r="466" spans="3:21" x14ac:dyDescent="0.25">
      <c r="C466" s="172"/>
      <c r="H466" s="213"/>
      <c r="I466" s="213"/>
      <c r="J466" s="213"/>
      <c r="K466" s="213"/>
      <c r="L466" s="213"/>
      <c r="M466" s="213"/>
      <c r="N466" s="213"/>
      <c r="O466" s="213"/>
      <c r="P466" s="213"/>
      <c r="Q466" s="213"/>
      <c r="R466" s="213"/>
      <c r="S466" s="213"/>
      <c r="T466" s="213"/>
      <c r="U466" s="213"/>
    </row>
    <row r="467" spans="3:21" x14ac:dyDescent="0.25">
      <c r="C467" s="172"/>
      <c r="H467" s="213"/>
      <c r="I467" s="213"/>
      <c r="J467" s="213"/>
      <c r="K467" s="213"/>
      <c r="L467" s="213"/>
      <c r="M467" s="213"/>
      <c r="N467" s="213"/>
      <c r="O467" s="213"/>
      <c r="P467" s="213"/>
      <c r="Q467" s="213"/>
      <c r="R467" s="213"/>
      <c r="S467" s="213"/>
      <c r="T467" s="213"/>
      <c r="U467" s="213"/>
    </row>
    <row r="468" spans="3:21" x14ac:dyDescent="0.25">
      <c r="C468" s="172"/>
      <c r="H468" s="213"/>
      <c r="I468" s="213"/>
      <c r="J468" s="213"/>
      <c r="K468" s="213"/>
      <c r="L468" s="213"/>
      <c r="M468" s="213"/>
      <c r="N468" s="213"/>
      <c r="O468" s="213"/>
      <c r="P468" s="213"/>
      <c r="Q468" s="213"/>
      <c r="R468" s="213"/>
      <c r="S468" s="213"/>
      <c r="T468" s="213"/>
      <c r="U468" s="213"/>
    </row>
    <row r="469" spans="3:21" x14ac:dyDescent="0.25">
      <c r="C469" s="172"/>
      <c r="H469" s="213"/>
      <c r="I469" s="213"/>
      <c r="J469" s="213"/>
      <c r="K469" s="213"/>
      <c r="L469" s="213"/>
      <c r="M469" s="213"/>
      <c r="N469" s="213"/>
      <c r="O469" s="213"/>
      <c r="P469" s="213"/>
      <c r="Q469" s="213"/>
      <c r="R469" s="213"/>
      <c r="S469" s="213"/>
      <c r="T469" s="213"/>
      <c r="U469" s="213"/>
    </row>
    <row r="470" spans="3:21" x14ac:dyDescent="0.25">
      <c r="C470" s="172"/>
      <c r="H470" s="213"/>
      <c r="I470" s="213"/>
      <c r="J470" s="213"/>
      <c r="K470" s="213"/>
      <c r="L470" s="213"/>
      <c r="M470" s="213"/>
      <c r="N470" s="213"/>
      <c r="O470" s="213"/>
      <c r="P470" s="213"/>
      <c r="Q470" s="213"/>
      <c r="R470" s="213"/>
      <c r="S470" s="213"/>
      <c r="T470" s="213"/>
      <c r="U470" s="213"/>
    </row>
    <row r="471" spans="3:21" x14ac:dyDescent="0.25">
      <c r="C471" s="172"/>
      <c r="H471" s="213"/>
      <c r="I471" s="213"/>
      <c r="J471" s="213"/>
      <c r="K471" s="213"/>
      <c r="L471" s="213"/>
      <c r="M471" s="213"/>
      <c r="N471" s="213"/>
      <c r="O471" s="213"/>
      <c r="P471" s="213"/>
      <c r="Q471" s="213"/>
      <c r="R471" s="213"/>
      <c r="S471" s="213"/>
      <c r="T471" s="213"/>
      <c r="U471" s="213"/>
    </row>
    <row r="472" spans="3:21" x14ac:dyDescent="0.25">
      <c r="C472" s="172"/>
      <c r="H472" s="213"/>
      <c r="I472" s="213"/>
      <c r="J472" s="213"/>
      <c r="K472" s="213"/>
      <c r="L472" s="213"/>
      <c r="M472" s="213"/>
      <c r="N472" s="213"/>
      <c r="O472" s="213"/>
      <c r="P472" s="213"/>
      <c r="Q472" s="213"/>
      <c r="R472" s="213"/>
      <c r="S472" s="213"/>
      <c r="T472" s="213"/>
      <c r="U472" s="213"/>
    </row>
    <row r="473" spans="3:21" x14ac:dyDescent="0.25">
      <c r="C473" s="172"/>
      <c r="H473" s="213"/>
      <c r="I473" s="213"/>
      <c r="J473" s="213"/>
      <c r="K473" s="213"/>
      <c r="L473" s="213"/>
      <c r="M473" s="213"/>
      <c r="N473" s="213"/>
      <c r="O473" s="213"/>
      <c r="P473" s="213"/>
      <c r="Q473" s="213"/>
      <c r="R473" s="213"/>
      <c r="S473" s="213"/>
      <c r="T473" s="213"/>
      <c r="U473" s="213"/>
    </row>
    <row r="474" spans="3:21" x14ac:dyDescent="0.25">
      <c r="C474" s="172"/>
      <c r="H474" s="213"/>
      <c r="I474" s="213"/>
      <c r="J474" s="213"/>
      <c r="K474" s="213"/>
      <c r="L474" s="213"/>
      <c r="M474" s="213"/>
      <c r="N474" s="213"/>
      <c r="O474" s="213"/>
      <c r="P474" s="213"/>
      <c r="Q474" s="213"/>
      <c r="R474" s="213"/>
      <c r="S474" s="213"/>
      <c r="T474" s="213"/>
      <c r="U474" s="213"/>
    </row>
    <row r="475" spans="3:21" x14ac:dyDescent="0.25">
      <c r="C475" s="172"/>
      <c r="H475" s="213"/>
      <c r="I475" s="213"/>
      <c r="J475" s="213"/>
      <c r="K475" s="213"/>
      <c r="L475" s="213"/>
      <c r="M475" s="213"/>
      <c r="N475" s="213"/>
      <c r="O475" s="213"/>
      <c r="P475" s="213"/>
      <c r="Q475" s="213"/>
      <c r="R475" s="213"/>
      <c r="S475" s="213"/>
      <c r="T475" s="213"/>
      <c r="U475" s="213"/>
    </row>
    <row r="476" spans="3:21" x14ac:dyDescent="0.25">
      <c r="C476" s="172"/>
      <c r="H476" s="213"/>
      <c r="I476" s="213"/>
      <c r="J476" s="213"/>
      <c r="K476" s="213"/>
      <c r="L476" s="213"/>
      <c r="M476" s="213"/>
      <c r="N476" s="213"/>
      <c r="O476" s="213"/>
      <c r="P476" s="213"/>
      <c r="Q476" s="213"/>
      <c r="R476" s="213"/>
      <c r="S476" s="213"/>
      <c r="T476" s="213"/>
      <c r="U476" s="213"/>
    </row>
    <row r="477" spans="3:21" x14ac:dyDescent="0.25">
      <c r="C477" s="172"/>
      <c r="H477" s="213"/>
      <c r="I477" s="213"/>
      <c r="J477" s="213"/>
      <c r="K477" s="213"/>
      <c r="L477" s="213"/>
      <c r="M477" s="213"/>
      <c r="N477" s="213"/>
      <c r="O477" s="213"/>
      <c r="P477" s="213"/>
      <c r="Q477" s="213"/>
      <c r="R477" s="213"/>
      <c r="S477" s="213"/>
      <c r="T477" s="213"/>
      <c r="U477" s="213"/>
    </row>
    <row r="478" spans="3:21" x14ac:dyDescent="0.25">
      <c r="C478" s="172"/>
      <c r="H478" s="213"/>
      <c r="I478" s="213"/>
      <c r="J478" s="213"/>
      <c r="K478" s="213"/>
      <c r="L478" s="213"/>
      <c r="M478" s="213"/>
      <c r="N478" s="213"/>
      <c r="O478" s="213"/>
      <c r="P478" s="213"/>
      <c r="Q478" s="213"/>
      <c r="R478" s="213"/>
      <c r="S478" s="213"/>
      <c r="T478" s="213"/>
      <c r="U478" s="213"/>
    </row>
    <row r="479" spans="3:21" x14ac:dyDescent="0.25">
      <c r="C479" s="172"/>
      <c r="H479" s="213"/>
      <c r="I479" s="213"/>
      <c r="J479" s="213"/>
      <c r="K479" s="213"/>
      <c r="L479" s="213"/>
      <c r="M479" s="213"/>
      <c r="N479" s="213"/>
      <c r="O479" s="213"/>
      <c r="P479" s="213"/>
      <c r="Q479" s="213"/>
      <c r="R479" s="213"/>
      <c r="S479" s="213"/>
      <c r="T479" s="213"/>
      <c r="U479" s="213"/>
    </row>
    <row r="480" spans="3:21" x14ac:dyDescent="0.25">
      <c r="C480" s="172"/>
      <c r="H480" s="213"/>
      <c r="I480" s="213"/>
      <c r="J480" s="213"/>
      <c r="K480" s="213"/>
      <c r="L480" s="213"/>
      <c r="M480" s="213"/>
      <c r="N480" s="213"/>
      <c r="O480" s="213"/>
      <c r="P480" s="213"/>
      <c r="Q480" s="213"/>
      <c r="R480" s="213"/>
      <c r="S480" s="213"/>
      <c r="T480" s="213"/>
      <c r="U480" s="213"/>
    </row>
    <row r="481" spans="3:21" x14ac:dyDescent="0.25">
      <c r="C481" s="172"/>
      <c r="H481" s="213"/>
      <c r="I481" s="213"/>
      <c r="J481" s="213"/>
      <c r="K481" s="213"/>
      <c r="L481" s="213"/>
      <c r="M481" s="213"/>
      <c r="N481" s="213"/>
      <c r="O481" s="213"/>
      <c r="P481" s="213"/>
      <c r="Q481" s="213"/>
      <c r="R481" s="213"/>
      <c r="S481" s="213"/>
      <c r="T481" s="213"/>
      <c r="U481" s="213"/>
    </row>
    <row r="482" spans="3:21" x14ac:dyDescent="0.25">
      <c r="C482" s="172"/>
      <c r="H482" s="213"/>
      <c r="I482" s="213"/>
      <c r="J482" s="213"/>
      <c r="K482" s="213"/>
      <c r="L482" s="213"/>
      <c r="M482" s="213"/>
      <c r="N482" s="213"/>
      <c r="O482" s="213"/>
      <c r="P482" s="213"/>
      <c r="Q482" s="213"/>
      <c r="R482" s="213"/>
      <c r="S482" s="213"/>
      <c r="T482" s="213"/>
      <c r="U482" s="213"/>
    </row>
    <row r="483" spans="3:21" x14ac:dyDescent="0.25">
      <c r="C483" s="172"/>
      <c r="H483" s="213"/>
      <c r="I483" s="213"/>
      <c r="J483" s="213"/>
      <c r="K483" s="213"/>
      <c r="L483" s="213"/>
      <c r="M483" s="213"/>
      <c r="N483" s="213"/>
      <c r="O483" s="213"/>
      <c r="P483" s="213"/>
      <c r="Q483" s="213"/>
      <c r="R483" s="213"/>
      <c r="S483" s="213"/>
      <c r="T483" s="213"/>
      <c r="U483" s="213"/>
    </row>
    <row r="484" spans="3:21" x14ac:dyDescent="0.25">
      <c r="C484" s="172"/>
      <c r="H484" s="213"/>
      <c r="I484" s="213"/>
      <c r="J484" s="213"/>
      <c r="K484" s="213"/>
      <c r="L484" s="213"/>
      <c r="M484" s="213"/>
      <c r="N484" s="213"/>
      <c r="O484" s="213"/>
      <c r="P484" s="213"/>
      <c r="Q484" s="213"/>
      <c r="R484" s="213"/>
      <c r="S484" s="213"/>
      <c r="T484" s="213"/>
      <c r="U484" s="213"/>
    </row>
    <row r="485" spans="3:21" x14ac:dyDescent="0.25">
      <c r="C485" s="172"/>
      <c r="H485" s="213"/>
      <c r="I485" s="213"/>
      <c r="J485" s="213"/>
      <c r="K485" s="213"/>
      <c r="L485" s="213"/>
      <c r="M485" s="213"/>
      <c r="N485" s="213"/>
      <c r="O485" s="213"/>
      <c r="P485" s="213"/>
      <c r="Q485" s="213"/>
      <c r="R485" s="213"/>
      <c r="S485" s="213"/>
      <c r="T485" s="213"/>
      <c r="U485" s="213"/>
    </row>
    <row r="486" spans="3:21" x14ac:dyDescent="0.25">
      <c r="C486" s="172"/>
      <c r="H486" s="213"/>
      <c r="I486" s="213"/>
      <c r="J486" s="213"/>
      <c r="K486" s="213"/>
      <c r="L486" s="213"/>
      <c r="M486" s="213"/>
      <c r="N486" s="213"/>
      <c r="O486" s="213"/>
      <c r="P486" s="213"/>
      <c r="Q486" s="213"/>
      <c r="R486" s="213"/>
      <c r="S486" s="213"/>
      <c r="T486" s="213"/>
      <c r="U486" s="213"/>
    </row>
    <row r="487" spans="3:21" x14ac:dyDescent="0.25">
      <c r="C487" s="172"/>
      <c r="H487" s="213"/>
      <c r="I487" s="213"/>
      <c r="J487" s="213"/>
      <c r="K487" s="213"/>
      <c r="L487" s="213"/>
      <c r="M487" s="213"/>
      <c r="N487" s="213"/>
      <c r="O487" s="213"/>
      <c r="P487" s="213"/>
      <c r="Q487" s="213"/>
      <c r="R487" s="213"/>
      <c r="S487" s="213"/>
      <c r="T487" s="213"/>
      <c r="U487" s="213"/>
    </row>
    <row r="488" spans="3:21" x14ac:dyDescent="0.25">
      <c r="C488" s="172"/>
      <c r="H488" s="213"/>
      <c r="I488" s="213"/>
      <c r="J488" s="213"/>
      <c r="K488" s="213"/>
      <c r="L488" s="213"/>
      <c r="M488" s="213"/>
      <c r="N488" s="213"/>
      <c r="O488" s="213"/>
      <c r="P488" s="213"/>
      <c r="Q488" s="213"/>
      <c r="R488" s="213"/>
      <c r="S488" s="213"/>
      <c r="T488" s="213"/>
      <c r="U488" s="213"/>
    </row>
    <row r="489" spans="3:21" x14ac:dyDescent="0.25">
      <c r="C489" s="172"/>
      <c r="H489" s="213"/>
      <c r="I489" s="213"/>
      <c r="J489" s="213"/>
      <c r="K489" s="213"/>
      <c r="L489" s="213"/>
      <c r="M489" s="213"/>
      <c r="N489" s="213"/>
      <c r="O489" s="213"/>
      <c r="P489" s="213"/>
      <c r="Q489" s="213"/>
      <c r="R489" s="213"/>
      <c r="S489" s="213"/>
      <c r="T489" s="213"/>
      <c r="U489" s="213"/>
    </row>
    <row r="490" spans="3:21" x14ac:dyDescent="0.25">
      <c r="C490" s="172"/>
      <c r="H490" s="213"/>
      <c r="I490" s="213"/>
      <c r="J490" s="213"/>
      <c r="K490" s="213"/>
      <c r="L490" s="213"/>
      <c r="M490" s="213"/>
      <c r="N490" s="213"/>
      <c r="O490" s="213"/>
      <c r="P490" s="213"/>
      <c r="Q490" s="213"/>
      <c r="R490" s="213"/>
      <c r="S490" s="213"/>
      <c r="T490" s="213"/>
      <c r="U490" s="213"/>
    </row>
    <row r="491" spans="3:21" x14ac:dyDescent="0.25">
      <c r="C491" s="172"/>
      <c r="H491" s="213"/>
      <c r="I491" s="213"/>
      <c r="J491" s="213"/>
      <c r="K491" s="213"/>
      <c r="L491" s="213"/>
      <c r="M491" s="213"/>
      <c r="N491" s="213"/>
      <c r="O491" s="213"/>
      <c r="P491" s="213"/>
      <c r="Q491" s="213"/>
      <c r="R491" s="213"/>
      <c r="S491" s="213"/>
      <c r="T491" s="213"/>
      <c r="U491" s="213"/>
    </row>
    <row r="492" spans="3:21" x14ac:dyDescent="0.25">
      <c r="C492" s="172"/>
      <c r="H492" s="213"/>
      <c r="I492" s="213"/>
      <c r="J492" s="213"/>
      <c r="K492" s="213"/>
      <c r="L492" s="213"/>
      <c r="M492" s="213"/>
      <c r="N492" s="213"/>
      <c r="O492" s="213"/>
      <c r="P492" s="213"/>
      <c r="Q492" s="213"/>
      <c r="R492" s="213"/>
      <c r="S492" s="213"/>
      <c r="T492" s="213"/>
      <c r="U492" s="213"/>
    </row>
    <row r="493" spans="3:21" x14ac:dyDescent="0.25">
      <c r="C493" s="172"/>
      <c r="H493" s="213"/>
      <c r="I493" s="213"/>
      <c r="J493" s="213"/>
      <c r="K493" s="213"/>
      <c r="L493" s="213"/>
      <c r="M493" s="213"/>
      <c r="N493" s="213"/>
      <c r="O493" s="213"/>
      <c r="P493" s="213"/>
      <c r="Q493" s="213"/>
      <c r="R493" s="213"/>
      <c r="S493" s="213"/>
      <c r="T493" s="213"/>
      <c r="U493" s="213"/>
    </row>
    <row r="494" spans="3:21" x14ac:dyDescent="0.25">
      <c r="C494" s="172"/>
      <c r="H494" s="213"/>
      <c r="I494" s="213"/>
      <c r="J494" s="213"/>
      <c r="K494" s="213"/>
      <c r="L494" s="213"/>
      <c r="M494" s="213"/>
      <c r="N494" s="213"/>
      <c r="O494" s="213"/>
      <c r="P494" s="213"/>
      <c r="Q494" s="213"/>
      <c r="R494" s="213"/>
      <c r="S494" s="213"/>
      <c r="T494" s="213"/>
      <c r="U494" s="213"/>
    </row>
    <row r="495" spans="3:21" x14ac:dyDescent="0.25">
      <c r="C495" s="172"/>
      <c r="H495" s="213"/>
      <c r="I495" s="213"/>
      <c r="J495" s="213"/>
      <c r="K495" s="213"/>
      <c r="L495" s="213"/>
      <c r="M495" s="213"/>
      <c r="N495" s="213"/>
      <c r="O495" s="213"/>
      <c r="P495" s="213"/>
      <c r="Q495" s="213"/>
      <c r="R495" s="213"/>
      <c r="S495" s="213"/>
      <c r="T495" s="213"/>
      <c r="U495" s="213"/>
    </row>
    <row r="496" spans="3:21" x14ac:dyDescent="0.25">
      <c r="C496" s="172"/>
      <c r="H496" s="213"/>
      <c r="I496" s="213"/>
      <c r="J496" s="213"/>
      <c r="K496" s="213"/>
      <c r="L496" s="213"/>
      <c r="M496" s="213"/>
      <c r="N496" s="213"/>
      <c r="O496" s="213"/>
      <c r="P496" s="213"/>
      <c r="Q496" s="213"/>
      <c r="R496" s="213"/>
      <c r="S496" s="213"/>
      <c r="T496" s="213"/>
      <c r="U496" s="213"/>
    </row>
    <row r="497" spans="3:21" x14ac:dyDescent="0.25">
      <c r="C497" s="172"/>
      <c r="H497" s="213"/>
      <c r="I497" s="213"/>
      <c r="J497" s="213"/>
      <c r="K497" s="213"/>
      <c r="L497" s="213"/>
      <c r="M497" s="213"/>
      <c r="N497" s="213"/>
      <c r="O497" s="213"/>
      <c r="P497" s="213"/>
      <c r="Q497" s="213"/>
      <c r="R497" s="213"/>
      <c r="S497" s="213"/>
      <c r="T497" s="213"/>
      <c r="U497" s="213"/>
    </row>
    <row r="498" spans="3:21" x14ac:dyDescent="0.25">
      <c r="C498" s="172"/>
      <c r="H498" s="213"/>
      <c r="I498" s="213"/>
      <c r="J498" s="213"/>
      <c r="K498" s="213"/>
      <c r="L498" s="213"/>
      <c r="M498" s="213"/>
      <c r="N498" s="213"/>
      <c r="O498" s="213"/>
      <c r="P498" s="213"/>
      <c r="Q498" s="213"/>
      <c r="R498" s="213"/>
      <c r="S498" s="213"/>
      <c r="T498" s="213"/>
      <c r="U498" s="213"/>
    </row>
    <row r="499" spans="3:21" x14ac:dyDescent="0.25">
      <c r="C499" s="172"/>
      <c r="H499" s="213"/>
      <c r="I499" s="213"/>
      <c r="J499" s="213"/>
      <c r="K499" s="213"/>
      <c r="L499" s="213"/>
      <c r="M499" s="213"/>
      <c r="N499" s="213"/>
      <c r="O499" s="213"/>
      <c r="P499" s="213"/>
      <c r="Q499" s="213"/>
      <c r="R499" s="213"/>
      <c r="S499" s="213"/>
      <c r="T499" s="213"/>
      <c r="U499" s="213"/>
    </row>
    <row r="500" spans="3:21" x14ac:dyDescent="0.25">
      <c r="C500" s="172"/>
      <c r="H500" s="213"/>
      <c r="I500" s="213"/>
      <c r="J500" s="213"/>
      <c r="K500" s="213"/>
      <c r="L500" s="213"/>
      <c r="M500" s="213"/>
      <c r="N500" s="213"/>
      <c r="O500" s="213"/>
      <c r="P500" s="213"/>
      <c r="Q500" s="213"/>
      <c r="R500" s="213"/>
      <c r="S500" s="213"/>
      <c r="T500" s="213"/>
      <c r="U500" s="213"/>
    </row>
    <row r="501" spans="3:21" x14ac:dyDescent="0.25">
      <c r="C501" s="172"/>
      <c r="H501" s="213"/>
      <c r="I501" s="213"/>
      <c r="J501" s="213"/>
      <c r="K501" s="213"/>
      <c r="L501" s="213"/>
      <c r="M501" s="213"/>
      <c r="N501" s="213"/>
      <c r="O501" s="213"/>
      <c r="P501" s="213"/>
      <c r="Q501" s="213"/>
      <c r="R501" s="213"/>
      <c r="S501" s="213"/>
      <c r="T501" s="213"/>
      <c r="U501" s="213"/>
    </row>
    <row r="502" spans="3:21" x14ac:dyDescent="0.25">
      <c r="C502" s="172"/>
      <c r="H502" s="213"/>
      <c r="I502" s="213"/>
      <c r="J502" s="213"/>
      <c r="K502" s="213"/>
      <c r="L502" s="213"/>
      <c r="M502" s="213"/>
      <c r="N502" s="213"/>
      <c r="O502" s="213"/>
      <c r="P502" s="213"/>
      <c r="Q502" s="213"/>
      <c r="R502" s="213"/>
      <c r="S502" s="213"/>
      <c r="T502" s="213"/>
      <c r="U502" s="213"/>
    </row>
    <row r="503" spans="3:21" x14ac:dyDescent="0.25">
      <c r="C503" s="172"/>
      <c r="H503" s="213"/>
      <c r="I503" s="213"/>
      <c r="J503" s="213"/>
      <c r="K503" s="213"/>
      <c r="L503" s="213"/>
      <c r="M503" s="213"/>
      <c r="N503" s="213"/>
      <c r="O503" s="213"/>
      <c r="P503" s="213"/>
      <c r="Q503" s="213"/>
      <c r="R503" s="213"/>
      <c r="S503" s="213"/>
      <c r="T503" s="213"/>
      <c r="U503" s="213"/>
    </row>
    <row r="504" spans="3:21" x14ac:dyDescent="0.25">
      <c r="C504" s="172"/>
      <c r="H504" s="213"/>
      <c r="I504" s="213"/>
      <c r="J504" s="213"/>
      <c r="K504" s="213"/>
      <c r="L504" s="213"/>
      <c r="M504" s="213"/>
      <c r="N504" s="213"/>
      <c r="O504" s="213"/>
      <c r="P504" s="213"/>
      <c r="Q504" s="213"/>
      <c r="R504" s="213"/>
      <c r="S504" s="213"/>
      <c r="T504" s="213"/>
      <c r="U504" s="213"/>
    </row>
    <row r="505" spans="3:21" x14ac:dyDescent="0.25">
      <c r="C505" s="172"/>
      <c r="H505" s="213"/>
      <c r="I505" s="213"/>
      <c r="J505" s="213"/>
      <c r="K505" s="213"/>
      <c r="L505" s="213"/>
      <c r="M505" s="213"/>
      <c r="N505" s="213"/>
      <c r="O505" s="213"/>
      <c r="P505" s="213"/>
      <c r="Q505" s="213"/>
      <c r="R505" s="213"/>
      <c r="S505" s="213"/>
      <c r="T505" s="213"/>
      <c r="U505" s="213"/>
    </row>
    <row r="506" spans="3:21" x14ac:dyDescent="0.25">
      <c r="C506" s="172"/>
      <c r="H506" s="213"/>
      <c r="I506" s="213"/>
      <c r="J506" s="213"/>
      <c r="K506" s="213"/>
      <c r="L506" s="213"/>
      <c r="M506" s="213"/>
      <c r="N506" s="213"/>
      <c r="O506" s="213"/>
      <c r="P506" s="213"/>
      <c r="Q506" s="213"/>
      <c r="R506" s="213"/>
      <c r="S506" s="213"/>
      <c r="T506" s="213"/>
      <c r="U506" s="213"/>
    </row>
    <row r="507" spans="3:21" x14ac:dyDescent="0.25">
      <c r="C507" s="172"/>
      <c r="H507" s="213"/>
      <c r="I507" s="213"/>
      <c r="J507" s="213"/>
      <c r="K507" s="213"/>
      <c r="L507" s="213"/>
      <c r="M507" s="213"/>
      <c r="N507" s="213"/>
      <c r="O507" s="213"/>
      <c r="P507" s="213"/>
      <c r="Q507" s="213"/>
      <c r="R507" s="213"/>
      <c r="S507" s="213"/>
      <c r="T507" s="213"/>
      <c r="U507" s="213"/>
    </row>
    <row r="508" spans="3:21" x14ac:dyDescent="0.25">
      <c r="C508" s="172"/>
      <c r="H508" s="213"/>
      <c r="I508" s="213"/>
      <c r="J508" s="213"/>
      <c r="K508" s="213"/>
      <c r="L508" s="213"/>
      <c r="M508" s="213"/>
      <c r="N508" s="213"/>
      <c r="O508" s="213"/>
      <c r="P508" s="213"/>
      <c r="Q508" s="213"/>
      <c r="R508" s="213"/>
      <c r="S508" s="213"/>
      <c r="T508" s="213"/>
      <c r="U508" s="213"/>
    </row>
    <row r="509" spans="3:21" x14ac:dyDescent="0.25">
      <c r="C509" s="172"/>
      <c r="H509" s="213"/>
      <c r="I509" s="213"/>
      <c r="J509" s="213"/>
      <c r="K509" s="213"/>
      <c r="L509" s="213"/>
      <c r="M509" s="213"/>
      <c r="N509" s="213"/>
      <c r="O509" s="213"/>
      <c r="P509" s="213"/>
      <c r="Q509" s="213"/>
      <c r="R509" s="213"/>
      <c r="S509" s="213"/>
      <c r="T509" s="213"/>
      <c r="U509" s="213"/>
    </row>
    <row r="510" spans="3:21" x14ac:dyDescent="0.25">
      <c r="C510" s="172"/>
      <c r="H510" s="213"/>
      <c r="I510" s="213"/>
      <c r="J510" s="213"/>
      <c r="K510" s="213"/>
      <c r="L510" s="213"/>
      <c r="M510" s="213"/>
      <c r="N510" s="213"/>
      <c r="O510" s="213"/>
      <c r="P510" s="213"/>
      <c r="Q510" s="213"/>
      <c r="R510" s="213"/>
      <c r="S510" s="213"/>
      <c r="T510" s="213"/>
      <c r="U510" s="213"/>
    </row>
    <row r="511" spans="3:21" x14ac:dyDescent="0.25">
      <c r="C511" s="172"/>
      <c r="H511" s="213"/>
      <c r="I511" s="213"/>
      <c r="J511" s="213"/>
      <c r="K511" s="213"/>
      <c r="L511" s="213"/>
      <c r="M511" s="213"/>
      <c r="N511" s="213"/>
      <c r="O511" s="213"/>
      <c r="P511" s="213"/>
      <c r="Q511" s="213"/>
      <c r="R511" s="213"/>
      <c r="S511" s="213"/>
      <c r="T511" s="213"/>
      <c r="U511" s="213"/>
    </row>
    <row r="512" spans="3:21" x14ac:dyDescent="0.25">
      <c r="C512" s="172"/>
      <c r="H512" s="213"/>
      <c r="I512" s="213"/>
      <c r="J512" s="213"/>
      <c r="K512" s="213"/>
      <c r="L512" s="213"/>
      <c r="M512" s="213"/>
      <c r="N512" s="213"/>
      <c r="O512" s="213"/>
      <c r="P512" s="213"/>
      <c r="Q512" s="213"/>
      <c r="R512" s="213"/>
      <c r="S512" s="213"/>
      <c r="T512" s="213"/>
      <c r="U512" s="213"/>
    </row>
    <row r="513" spans="3:21" x14ac:dyDescent="0.25">
      <c r="C513" s="172"/>
      <c r="H513" s="213"/>
      <c r="I513" s="213"/>
      <c r="J513" s="213"/>
      <c r="K513" s="213"/>
      <c r="L513" s="213"/>
      <c r="M513" s="213"/>
      <c r="N513" s="213"/>
      <c r="O513" s="213"/>
      <c r="P513" s="213"/>
      <c r="Q513" s="213"/>
      <c r="R513" s="213"/>
      <c r="S513" s="213"/>
      <c r="T513" s="213"/>
      <c r="U513" s="213"/>
    </row>
    <row r="514" spans="3:21" x14ac:dyDescent="0.25">
      <c r="C514" s="172"/>
      <c r="H514" s="213"/>
      <c r="I514" s="213"/>
      <c r="J514" s="213"/>
      <c r="K514" s="213"/>
      <c r="L514" s="213"/>
      <c r="M514" s="213"/>
      <c r="N514" s="213"/>
      <c r="O514" s="213"/>
      <c r="P514" s="213"/>
      <c r="Q514" s="213"/>
      <c r="R514" s="213"/>
      <c r="S514" s="213"/>
      <c r="T514" s="213"/>
      <c r="U514" s="213"/>
    </row>
    <row r="515" spans="3:21" x14ac:dyDescent="0.25">
      <c r="C515" s="172"/>
      <c r="H515" s="213"/>
      <c r="I515" s="213"/>
      <c r="J515" s="213"/>
      <c r="K515" s="213"/>
      <c r="L515" s="213"/>
      <c r="M515" s="213"/>
      <c r="N515" s="213"/>
      <c r="O515" s="213"/>
      <c r="P515" s="213"/>
      <c r="Q515" s="213"/>
      <c r="R515" s="213"/>
      <c r="S515" s="213"/>
      <c r="T515" s="213"/>
      <c r="U515" s="213"/>
    </row>
    <row r="516" spans="3:21" x14ac:dyDescent="0.25">
      <c r="C516" s="172"/>
      <c r="H516" s="213"/>
      <c r="I516" s="213"/>
      <c r="J516" s="213"/>
      <c r="K516" s="213"/>
      <c r="L516" s="213"/>
      <c r="M516" s="213"/>
      <c r="N516" s="213"/>
      <c r="O516" s="213"/>
      <c r="P516" s="213"/>
      <c r="Q516" s="213"/>
      <c r="R516" s="213"/>
      <c r="S516" s="213"/>
      <c r="T516" s="213"/>
      <c r="U516" s="213"/>
    </row>
    <row r="517" spans="3:21" x14ac:dyDescent="0.25">
      <c r="C517" s="172"/>
      <c r="H517" s="213"/>
      <c r="I517" s="213"/>
      <c r="J517" s="213"/>
      <c r="K517" s="213"/>
      <c r="L517" s="213"/>
      <c r="M517" s="213"/>
      <c r="N517" s="213"/>
      <c r="O517" s="213"/>
      <c r="P517" s="213"/>
      <c r="Q517" s="213"/>
      <c r="R517" s="213"/>
      <c r="S517" s="213"/>
      <c r="T517" s="213"/>
      <c r="U517" s="213"/>
    </row>
    <row r="518" spans="3:21" x14ac:dyDescent="0.25">
      <c r="C518" s="213"/>
      <c r="D518" s="213"/>
      <c r="E518" s="213"/>
      <c r="F518" s="213"/>
      <c r="G518" s="213"/>
      <c r="H518" s="213"/>
      <c r="I518" s="213"/>
      <c r="J518" s="213"/>
      <c r="K518" s="213"/>
      <c r="L518" s="213"/>
      <c r="M518" s="213"/>
      <c r="N518" s="213"/>
      <c r="O518" s="213"/>
      <c r="P518" s="213"/>
      <c r="Q518" s="213"/>
      <c r="R518" s="213"/>
      <c r="S518" s="213"/>
      <c r="T518" s="213"/>
      <c r="U518" s="213"/>
    </row>
    <row r="519" spans="3:21" x14ac:dyDescent="0.25">
      <c r="C519" s="213"/>
      <c r="D519" s="213"/>
      <c r="E519" s="213"/>
      <c r="F519" s="213"/>
      <c r="G519" s="213"/>
      <c r="H519" s="213"/>
      <c r="I519" s="213"/>
      <c r="J519" s="213"/>
      <c r="K519" s="213"/>
      <c r="L519" s="213"/>
      <c r="M519" s="213"/>
      <c r="N519" s="213"/>
      <c r="O519" s="213"/>
      <c r="P519" s="213"/>
      <c r="Q519" s="213"/>
      <c r="R519" s="213"/>
      <c r="S519" s="213"/>
      <c r="T519" s="213"/>
      <c r="U519" s="213"/>
    </row>
    <row r="520" spans="3:21" x14ac:dyDescent="0.25">
      <c r="C520" s="213"/>
      <c r="D520" s="213"/>
      <c r="E520" s="213"/>
      <c r="F520" s="213"/>
      <c r="G520" s="213"/>
      <c r="H520" s="213"/>
      <c r="I520" s="213"/>
      <c r="J520" s="213"/>
      <c r="K520" s="213"/>
      <c r="L520" s="213"/>
      <c r="M520" s="213"/>
      <c r="N520" s="213"/>
      <c r="O520" s="213"/>
      <c r="P520" s="213"/>
      <c r="Q520" s="213"/>
      <c r="R520" s="213"/>
      <c r="S520" s="213"/>
      <c r="T520" s="213"/>
      <c r="U520" s="213"/>
    </row>
    <row r="521" spans="3:21" x14ac:dyDescent="0.25">
      <c r="C521" s="213"/>
      <c r="D521" s="213"/>
      <c r="E521" s="213"/>
      <c r="F521" s="213"/>
      <c r="G521" s="213"/>
      <c r="H521" s="213"/>
      <c r="I521" s="213"/>
      <c r="J521" s="213"/>
      <c r="K521" s="213"/>
      <c r="L521" s="213"/>
      <c r="M521" s="213"/>
      <c r="N521" s="213"/>
      <c r="O521" s="213"/>
      <c r="P521" s="213"/>
      <c r="Q521" s="213"/>
      <c r="R521" s="213"/>
      <c r="S521" s="213"/>
      <c r="T521" s="213"/>
      <c r="U521" s="213"/>
    </row>
    <row r="522" spans="3:21" x14ac:dyDescent="0.25">
      <c r="C522" s="213"/>
      <c r="D522" s="213"/>
      <c r="E522" s="213"/>
      <c r="F522" s="213"/>
      <c r="G522" s="213"/>
      <c r="H522" s="213"/>
      <c r="I522" s="213"/>
      <c r="J522" s="213"/>
      <c r="K522" s="213"/>
      <c r="L522" s="213"/>
      <c r="M522" s="213"/>
      <c r="N522" s="213"/>
      <c r="O522" s="213"/>
      <c r="P522" s="213"/>
      <c r="Q522" s="213"/>
      <c r="R522" s="213"/>
      <c r="S522" s="213"/>
      <c r="T522" s="213"/>
      <c r="U522" s="213"/>
    </row>
    <row r="523" spans="3:21" x14ac:dyDescent="0.25">
      <c r="C523" s="213"/>
      <c r="D523" s="213"/>
      <c r="E523" s="213"/>
      <c r="F523" s="213"/>
      <c r="G523" s="213"/>
      <c r="H523" s="213"/>
      <c r="I523" s="213"/>
      <c r="J523" s="213"/>
      <c r="K523" s="213"/>
      <c r="L523" s="213"/>
      <c r="M523" s="213"/>
      <c r="N523" s="213"/>
      <c r="O523" s="213"/>
      <c r="P523" s="213"/>
      <c r="Q523" s="213"/>
      <c r="R523" s="213"/>
      <c r="S523" s="213"/>
      <c r="T523" s="213"/>
      <c r="U523" s="213"/>
    </row>
    <row r="524" spans="3:21" x14ac:dyDescent="0.25">
      <c r="C524" s="213"/>
      <c r="D524" s="213"/>
      <c r="E524" s="213"/>
      <c r="F524" s="213"/>
      <c r="G524" s="213"/>
      <c r="H524" s="213"/>
      <c r="I524" s="213"/>
      <c r="J524" s="213"/>
      <c r="K524" s="213"/>
      <c r="L524" s="213"/>
      <c r="M524" s="213"/>
      <c r="N524" s="213"/>
      <c r="O524" s="213"/>
      <c r="P524" s="213"/>
      <c r="Q524" s="213"/>
      <c r="R524" s="213"/>
      <c r="S524" s="213"/>
      <c r="T524" s="213"/>
      <c r="U524" s="213"/>
    </row>
    <row r="525" spans="3:21" x14ac:dyDescent="0.25">
      <c r="C525" s="213"/>
      <c r="D525" s="213"/>
      <c r="E525" s="213"/>
      <c r="F525" s="213"/>
      <c r="G525" s="213"/>
      <c r="H525" s="213"/>
      <c r="I525" s="213"/>
      <c r="J525" s="213"/>
      <c r="K525" s="213"/>
      <c r="L525" s="213"/>
      <c r="M525" s="213"/>
      <c r="N525" s="213"/>
      <c r="O525" s="213"/>
      <c r="P525" s="213"/>
      <c r="Q525" s="213"/>
      <c r="R525" s="213"/>
      <c r="S525" s="213"/>
      <c r="T525" s="213"/>
      <c r="U525" s="213"/>
    </row>
    <row r="526" spans="3:21" x14ac:dyDescent="0.25">
      <c r="C526" s="213"/>
      <c r="D526" s="213"/>
      <c r="E526" s="213"/>
      <c r="F526" s="213"/>
      <c r="G526" s="213"/>
      <c r="H526" s="213"/>
      <c r="I526" s="213"/>
      <c r="J526" s="213"/>
      <c r="K526" s="213"/>
      <c r="L526" s="213"/>
      <c r="M526" s="213"/>
      <c r="N526" s="213"/>
      <c r="O526" s="213"/>
      <c r="P526" s="213"/>
      <c r="Q526" s="213"/>
      <c r="R526" s="213"/>
      <c r="S526" s="213"/>
      <c r="T526" s="213"/>
      <c r="U526" s="213"/>
    </row>
    <row r="527" spans="3:21" x14ac:dyDescent="0.25">
      <c r="C527" s="213"/>
      <c r="D527" s="213"/>
      <c r="E527" s="213"/>
      <c r="F527" s="213"/>
      <c r="G527" s="213"/>
      <c r="H527" s="213"/>
      <c r="I527" s="213"/>
      <c r="J527" s="213"/>
      <c r="K527" s="213"/>
      <c r="L527" s="213"/>
      <c r="M527" s="213"/>
      <c r="N527" s="213"/>
      <c r="O527" s="213"/>
      <c r="P527" s="213"/>
      <c r="Q527" s="213"/>
      <c r="R527" s="213"/>
      <c r="S527" s="213"/>
      <c r="T527" s="213"/>
      <c r="U527" s="213"/>
    </row>
    <row r="528" spans="3:21" x14ac:dyDescent="0.25">
      <c r="C528" s="213"/>
      <c r="D528" s="213"/>
      <c r="E528" s="213"/>
      <c r="F528" s="213"/>
      <c r="G528" s="213"/>
      <c r="H528" s="213"/>
      <c r="I528" s="213"/>
      <c r="J528" s="213"/>
      <c r="K528" s="213"/>
      <c r="L528" s="213"/>
      <c r="M528" s="213"/>
      <c r="N528" s="213"/>
      <c r="O528" s="213"/>
      <c r="P528" s="213"/>
      <c r="Q528" s="213"/>
      <c r="R528" s="213"/>
      <c r="S528" s="213"/>
      <c r="T528" s="213"/>
      <c r="U528" s="213"/>
    </row>
    <row r="529" spans="3:21" x14ac:dyDescent="0.25">
      <c r="C529" s="213"/>
      <c r="D529" s="213"/>
      <c r="E529" s="213"/>
      <c r="F529" s="213"/>
      <c r="G529" s="213"/>
      <c r="H529" s="213"/>
      <c r="I529" s="213"/>
      <c r="J529" s="213"/>
      <c r="K529" s="213"/>
      <c r="L529" s="213"/>
      <c r="M529" s="213"/>
      <c r="N529" s="213"/>
      <c r="O529" s="213"/>
      <c r="P529" s="213"/>
      <c r="Q529" s="213"/>
      <c r="R529" s="213"/>
      <c r="S529" s="213"/>
      <c r="T529" s="213"/>
      <c r="U529" s="213"/>
    </row>
    <row r="530" spans="3:21" x14ac:dyDescent="0.25">
      <c r="C530" s="213"/>
      <c r="D530" s="213"/>
      <c r="E530" s="213"/>
      <c r="F530" s="213"/>
      <c r="G530" s="213"/>
      <c r="H530" s="213"/>
      <c r="I530" s="213"/>
      <c r="J530" s="213"/>
      <c r="K530" s="213"/>
      <c r="L530" s="213"/>
      <c r="M530" s="213"/>
      <c r="N530" s="213"/>
      <c r="O530" s="213"/>
      <c r="P530" s="213"/>
      <c r="Q530" s="213"/>
      <c r="R530" s="213"/>
      <c r="S530" s="213"/>
      <c r="T530" s="213"/>
      <c r="U530" s="213"/>
    </row>
    <row r="531" spans="3:21" x14ac:dyDescent="0.25">
      <c r="C531" s="213"/>
      <c r="D531" s="213"/>
      <c r="E531" s="213"/>
      <c r="F531" s="213"/>
      <c r="G531" s="213"/>
      <c r="H531" s="213"/>
      <c r="I531" s="213"/>
      <c r="J531" s="213"/>
      <c r="K531" s="213"/>
      <c r="L531" s="213"/>
      <c r="M531" s="213"/>
      <c r="N531" s="213"/>
      <c r="O531" s="213"/>
      <c r="P531" s="213"/>
      <c r="Q531" s="213"/>
      <c r="R531" s="213"/>
      <c r="S531" s="213"/>
      <c r="T531" s="213"/>
      <c r="U531" s="213"/>
    </row>
    <row r="532" spans="3:21" x14ac:dyDescent="0.25">
      <c r="C532" s="213"/>
      <c r="D532" s="213"/>
      <c r="E532" s="213"/>
      <c r="F532" s="213"/>
      <c r="G532" s="213"/>
      <c r="H532" s="213"/>
      <c r="I532" s="213"/>
      <c r="J532" s="213"/>
      <c r="K532" s="213"/>
      <c r="L532" s="213"/>
      <c r="M532" s="213"/>
      <c r="N532" s="213"/>
      <c r="O532" s="213"/>
      <c r="P532" s="213"/>
      <c r="Q532" s="213"/>
      <c r="R532" s="213"/>
      <c r="S532" s="213"/>
      <c r="T532" s="213"/>
      <c r="U532" s="213"/>
    </row>
    <row r="533" spans="3:21" x14ac:dyDescent="0.25">
      <c r="C533" s="213"/>
      <c r="D533" s="213"/>
      <c r="E533" s="213"/>
      <c r="F533" s="213"/>
      <c r="G533" s="213"/>
      <c r="H533" s="213"/>
      <c r="I533" s="213"/>
      <c r="J533" s="213"/>
      <c r="K533" s="213"/>
      <c r="L533" s="213"/>
      <c r="M533" s="213"/>
      <c r="N533" s="213"/>
      <c r="O533" s="213"/>
      <c r="P533" s="213"/>
      <c r="Q533" s="213"/>
      <c r="R533" s="213"/>
      <c r="S533" s="213"/>
      <c r="T533" s="213"/>
      <c r="U533" s="213"/>
    </row>
    <row r="534" spans="3:21" x14ac:dyDescent="0.25">
      <c r="C534" s="213"/>
      <c r="D534" s="213"/>
      <c r="E534" s="213"/>
      <c r="F534" s="213"/>
      <c r="G534" s="213"/>
      <c r="H534" s="213"/>
      <c r="I534" s="213"/>
      <c r="J534" s="213"/>
      <c r="K534" s="213"/>
      <c r="L534" s="213"/>
      <c r="M534" s="213"/>
      <c r="N534" s="213"/>
      <c r="O534" s="213"/>
      <c r="P534" s="213"/>
      <c r="Q534" s="213"/>
      <c r="R534" s="213"/>
      <c r="S534" s="213"/>
      <c r="T534" s="213"/>
      <c r="U534" s="213"/>
    </row>
    <row r="535" spans="3:21" x14ac:dyDescent="0.25">
      <c r="C535" s="213"/>
      <c r="D535" s="213"/>
      <c r="E535" s="213"/>
      <c r="F535" s="213"/>
      <c r="G535" s="213"/>
      <c r="H535" s="213"/>
      <c r="I535" s="213"/>
      <c r="J535" s="213"/>
      <c r="K535" s="213"/>
      <c r="L535" s="213"/>
      <c r="M535" s="213"/>
      <c r="N535" s="213"/>
      <c r="O535" s="213"/>
      <c r="P535" s="213"/>
      <c r="Q535" s="213"/>
      <c r="R535" s="213"/>
      <c r="S535" s="213"/>
      <c r="T535" s="213"/>
      <c r="U535" s="213"/>
    </row>
    <row r="536" spans="3:21" x14ac:dyDescent="0.25">
      <c r="C536" s="213"/>
      <c r="D536" s="213"/>
      <c r="E536" s="213"/>
      <c r="F536" s="213"/>
      <c r="G536" s="213"/>
      <c r="H536" s="213"/>
      <c r="I536" s="213"/>
      <c r="J536" s="213"/>
      <c r="K536" s="213"/>
      <c r="L536" s="213"/>
      <c r="M536" s="213"/>
      <c r="N536" s="213"/>
      <c r="O536" s="213"/>
      <c r="P536" s="213"/>
      <c r="Q536" s="213"/>
      <c r="R536" s="213"/>
      <c r="S536" s="213"/>
      <c r="T536" s="213"/>
      <c r="U536" s="213"/>
    </row>
    <row r="537" spans="3:21" x14ac:dyDescent="0.25">
      <c r="C537" s="213"/>
      <c r="D537" s="213"/>
      <c r="E537" s="213"/>
      <c r="F537" s="213"/>
      <c r="G537" s="213"/>
      <c r="H537" s="213"/>
      <c r="I537" s="213"/>
      <c r="J537" s="213"/>
      <c r="K537" s="213"/>
      <c r="L537" s="213"/>
      <c r="M537" s="213"/>
      <c r="N537" s="213"/>
      <c r="O537" s="213"/>
      <c r="P537" s="213"/>
      <c r="Q537" s="213"/>
      <c r="R537" s="213"/>
      <c r="S537" s="213"/>
      <c r="T537" s="213"/>
      <c r="U537" s="213"/>
    </row>
    <row r="538" spans="3:21" x14ac:dyDescent="0.25">
      <c r="C538" s="213"/>
      <c r="D538" s="213"/>
      <c r="E538" s="213"/>
      <c r="F538" s="213"/>
      <c r="G538" s="213"/>
      <c r="H538" s="213"/>
      <c r="I538" s="213"/>
      <c r="J538" s="213"/>
      <c r="K538" s="213"/>
      <c r="L538" s="213"/>
      <c r="M538" s="213"/>
      <c r="N538" s="213"/>
      <c r="O538" s="213"/>
      <c r="P538" s="213"/>
      <c r="Q538" s="213"/>
      <c r="R538" s="213"/>
      <c r="S538" s="213"/>
      <c r="T538" s="213"/>
      <c r="U538" s="213"/>
    </row>
    <row r="539" spans="3:21" x14ac:dyDescent="0.25">
      <c r="C539" s="213"/>
      <c r="D539" s="213"/>
      <c r="E539" s="213"/>
      <c r="F539" s="213"/>
      <c r="G539" s="213"/>
      <c r="H539" s="213"/>
      <c r="I539" s="213"/>
      <c r="J539" s="213"/>
      <c r="K539" s="213"/>
      <c r="L539" s="213"/>
      <c r="M539" s="213"/>
      <c r="N539" s="213"/>
      <c r="O539" s="213"/>
      <c r="P539" s="213"/>
      <c r="Q539" s="213"/>
      <c r="R539" s="213"/>
      <c r="S539" s="213"/>
      <c r="T539" s="213"/>
      <c r="U539" s="213"/>
    </row>
    <row r="540" spans="3:21" x14ac:dyDescent="0.25">
      <c r="C540" s="213"/>
      <c r="D540" s="213"/>
      <c r="E540" s="213"/>
      <c r="F540" s="213"/>
      <c r="G540" s="213"/>
      <c r="H540" s="213"/>
      <c r="I540" s="213"/>
      <c r="J540" s="213"/>
      <c r="K540" s="213"/>
      <c r="L540" s="213"/>
      <c r="M540" s="213"/>
      <c r="N540" s="213"/>
      <c r="O540" s="213"/>
      <c r="P540" s="213"/>
      <c r="Q540" s="213"/>
      <c r="R540" s="213"/>
      <c r="S540" s="213"/>
      <c r="T540" s="213"/>
      <c r="U540" s="213"/>
    </row>
    <row r="541" spans="3:21" x14ac:dyDescent="0.25">
      <c r="C541" s="213"/>
      <c r="D541" s="213"/>
      <c r="E541" s="213"/>
      <c r="F541" s="213"/>
      <c r="G541" s="213"/>
      <c r="H541" s="213"/>
      <c r="I541" s="213"/>
      <c r="J541" s="213"/>
      <c r="K541" s="213"/>
      <c r="L541" s="213"/>
      <c r="M541" s="213"/>
      <c r="N541" s="213"/>
      <c r="O541" s="213"/>
      <c r="P541" s="213"/>
      <c r="Q541" s="213"/>
      <c r="R541" s="213"/>
      <c r="S541" s="213"/>
      <c r="T541" s="213"/>
      <c r="U541" s="213"/>
    </row>
    <row r="542" spans="3:21" x14ac:dyDescent="0.25">
      <c r="C542" s="213"/>
      <c r="D542" s="213"/>
      <c r="E542" s="213"/>
      <c r="F542" s="213"/>
      <c r="G542" s="213"/>
      <c r="H542" s="213"/>
      <c r="I542" s="213"/>
      <c r="J542" s="213"/>
      <c r="K542" s="213"/>
      <c r="L542" s="213"/>
      <c r="M542" s="213"/>
      <c r="N542" s="213"/>
      <c r="O542" s="213"/>
      <c r="P542" s="213"/>
      <c r="Q542" s="213"/>
      <c r="R542" s="213"/>
      <c r="S542" s="213"/>
      <c r="T542" s="213"/>
      <c r="U542" s="213"/>
    </row>
    <row r="543" spans="3:21" x14ac:dyDescent="0.25">
      <c r="C543" s="213"/>
      <c r="D543" s="213"/>
      <c r="E543" s="213"/>
      <c r="F543" s="213"/>
      <c r="G543" s="213"/>
      <c r="H543" s="213"/>
      <c r="I543" s="213"/>
      <c r="J543" s="213"/>
      <c r="K543" s="213"/>
      <c r="L543" s="213"/>
      <c r="M543" s="213"/>
      <c r="N543" s="213"/>
      <c r="O543" s="213"/>
      <c r="P543" s="213"/>
      <c r="Q543" s="213"/>
      <c r="R543" s="213"/>
      <c r="S543" s="213"/>
      <c r="T543" s="213"/>
      <c r="U543" s="213"/>
    </row>
    <row r="544" spans="3:21" x14ac:dyDescent="0.25">
      <c r="C544" s="213"/>
      <c r="D544" s="213"/>
      <c r="E544" s="213"/>
      <c r="F544" s="213"/>
      <c r="G544" s="213"/>
      <c r="H544" s="213"/>
      <c r="I544" s="213"/>
      <c r="J544" s="213"/>
      <c r="K544" s="213"/>
      <c r="L544" s="213"/>
      <c r="M544" s="213"/>
      <c r="N544" s="213"/>
      <c r="O544" s="213"/>
      <c r="P544" s="213"/>
      <c r="Q544" s="213"/>
      <c r="R544" s="213"/>
      <c r="S544" s="213"/>
      <c r="T544" s="213"/>
      <c r="U544" s="213"/>
    </row>
    <row r="545" spans="3:21" x14ac:dyDescent="0.25">
      <c r="C545" s="213"/>
      <c r="D545" s="213"/>
      <c r="E545" s="213"/>
      <c r="F545" s="213"/>
      <c r="G545" s="213"/>
      <c r="H545" s="213"/>
      <c r="I545" s="213"/>
      <c r="J545" s="213"/>
      <c r="K545" s="213"/>
      <c r="L545" s="213"/>
      <c r="M545" s="213"/>
      <c r="N545" s="213"/>
      <c r="O545" s="213"/>
      <c r="P545" s="213"/>
      <c r="Q545" s="213"/>
      <c r="R545" s="213"/>
      <c r="S545" s="213"/>
      <c r="T545" s="213"/>
      <c r="U545" s="213"/>
    </row>
    <row r="546" spans="3:21" x14ac:dyDescent="0.25">
      <c r="C546" s="213"/>
      <c r="D546" s="213"/>
      <c r="E546" s="213"/>
      <c r="F546" s="213"/>
      <c r="G546" s="213"/>
      <c r="H546" s="213"/>
      <c r="I546" s="213"/>
      <c r="J546" s="213"/>
      <c r="K546" s="213"/>
      <c r="L546" s="213"/>
      <c r="M546" s="213"/>
      <c r="N546" s="213"/>
      <c r="O546" s="213"/>
      <c r="P546" s="213"/>
      <c r="Q546" s="213"/>
      <c r="R546" s="213"/>
      <c r="S546" s="213"/>
      <c r="T546" s="213"/>
      <c r="U546" s="213"/>
    </row>
    <row r="547" spans="3:21" x14ac:dyDescent="0.25">
      <c r="C547" s="213"/>
      <c r="D547" s="213"/>
      <c r="E547" s="213"/>
      <c r="F547" s="213"/>
      <c r="G547" s="213"/>
      <c r="H547" s="213"/>
      <c r="I547" s="213"/>
      <c r="J547" s="213"/>
      <c r="K547" s="213"/>
      <c r="L547" s="213"/>
      <c r="M547" s="213"/>
      <c r="N547" s="213"/>
      <c r="O547" s="213"/>
      <c r="P547" s="213"/>
      <c r="Q547" s="213"/>
      <c r="R547" s="213"/>
      <c r="S547" s="213"/>
      <c r="T547" s="213"/>
      <c r="U547" s="213"/>
    </row>
    <row r="548" spans="3:21" x14ac:dyDescent="0.25">
      <c r="C548" s="213"/>
      <c r="D548" s="213"/>
      <c r="E548" s="213"/>
      <c r="F548" s="213"/>
      <c r="G548" s="213"/>
      <c r="H548" s="213"/>
      <c r="I548" s="213"/>
      <c r="J548" s="213"/>
      <c r="K548" s="213"/>
      <c r="L548" s="213"/>
      <c r="M548" s="213"/>
      <c r="N548" s="213"/>
      <c r="O548" s="213"/>
      <c r="P548" s="213"/>
      <c r="Q548" s="213"/>
      <c r="R548" s="213"/>
      <c r="S548" s="213"/>
      <c r="T548" s="213"/>
      <c r="U548" s="213"/>
    </row>
    <row r="549" spans="3:21" x14ac:dyDescent="0.25">
      <c r="C549" s="213"/>
      <c r="D549" s="213"/>
      <c r="E549" s="213"/>
      <c r="F549" s="213"/>
      <c r="G549" s="213"/>
      <c r="H549" s="213"/>
      <c r="I549" s="213"/>
      <c r="J549" s="213"/>
      <c r="K549" s="213"/>
      <c r="L549" s="213"/>
      <c r="M549" s="213"/>
      <c r="N549" s="213"/>
      <c r="O549" s="213"/>
      <c r="P549" s="213"/>
      <c r="Q549" s="213"/>
      <c r="R549" s="213"/>
      <c r="S549" s="213"/>
      <c r="T549" s="213"/>
      <c r="U549" s="213"/>
    </row>
    <row r="550" spans="3:21" x14ac:dyDescent="0.25">
      <c r="C550" s="213"/>
      <c r="D550" s="213"/>
      <c r="E550" s="213"/>
      <c r="F550" s="213"/>
      <c r="G550" s="213"/>
      <c r="H550" s="213"/>
      <c r="I550" s="213"/>
      <c r="J550" s="213"/>
      <c r="K550" s="213"/>
      <c r="L550" s="213"/>
      <c r="M550" s="213"/>
      <c r="N550" s="213"/>
      <c r="O550" s="213"/>
      <c r="P550" s="213"/>
      <c r="Q550" s="213"/>
      <c r="R550" s="213"/>
      <c r="S550" s="213"/>
      <c r="T550" s="213"/>
      <c r="U550" s="213"/>
    </row>
    <row r="551" spans="3:21" x14ac:dyDescent="0.25">
      <c r="C551" s="213"/>
      <c r="D551" s="213"/>
      <c r="E551" s="213"/>
      <c r="F551" s="213"/>
      <c r="G551" s="213"/>
      <c r="H551" s="213"/>
      <c r="I551" s="213"/>
      <c r="J551" s="213"/>
      <c r="K551" s="213"/>
      <c r="L551" s="213"/>
      <c r="M551" s="213"/>
      <c r="N551" s="213"/>
      <c r="O551" s="213"/>
      <c r="P551" s="213"/>
      <c r="Q551" s="213"/>
      <c r="R551" s="213"/>
      <c r="S551" s="213"/>
      <c r="T551" s="213"/>
      <c r="U551" s="213"/>
    </row>
    <row r="552" spans="3:21" x14ac:dyDescent="0.25">
      <c r="C552" s="213"/>
      <c r="D552" s="213"/>
      <c r="E552" s="213"/>
      <c r="F552" s="213"/>
      <c r="G552" s="213"/>
      <c r="H552" s="213"/>
      <c r="I552" s="213"/>
      <c r="J552" s="213"/>
      <c r="K552" s="213"/>
      <c r="L552" s="213"/>
      <c r="M552" s="213"/>
      <c r="N552" s="213"/>
      <c r="O552" s="213"/>
      <c r="P552" s="213"/>
      <c r="Q552" s="213"/>
      <c r="R552" s="213"/>
      <c r="S552" s="213"/>
      <c r="T552" s="213"/>
      <c r="U552" s="213"/>
    </row>
    <row r="553" spans="3:21" x14ac:dyDescent="0.25">
      <c r="C553" s="213"/>
      <c r="D553" s="213"/>
      <c r="E553" s="213"/>
      <c r="F553" s="213"/>
      <c r="G553" s="213"/>
      <c r="H553" s="213"/>
      <c r="I553" s="213"/>
      <c r="J553" s="213"/>
      <c r="K553" s="213"/>
      <c r="L553" s="213"/>
      <c r="M553" s="213"/>
      <c r="N553" s="213"/>
      <c r="O553" s="213"/>
      <c r="P553" s="213"/>
      <c r="Q553" s="213"/>
      <c r="R553" s="213"/>
      <c r="S553" s="213"/>
      <c r="T553" s="213"/>
      <c r="U553" s="213"/>
    </row>
    <row r="554" spans="3:21" x14ac:dyDescent="0.25">
      <c r="C554" s="213"/>
      <c r="D554" s="213"/>
      <c r="E554" s="213"/>
      <c r="F554" s="213"/>
      <c r="G554" s="213"/>
      <c r="H554" s="213"/>
      <c r="I554" s="213"/>
      <c r="J554" s="213"/>
      <c r="K554" s="213"/>
      <c r="L554" s="213"/>
      <c r="M554" s="213"/>
      <c r="N554" s="213"/>
      <c r="O554" s="213"/>
      <c r="P554" s="213"/>
      <c r="Q554" s="213"/>
      <c r="R554" s="213"/>
      <c r="S554" s="213"/>
      <c r="T554" s="213"/>
      <c r="U554" s="213"/>
    </row>
    <row r="555" spans="3:21" x14ac:dyDescent="0.25">
      <c r="C555" s="213"/>
      <c r="D555" s="213"/>
      <c r="E555" s="213"/>
      <c r="F555" s="213"/>
      <c r="G555" s="213"/>
      <c r="H555" s="213"/>
      <c r="I555" s="213"/>
      <c r="J555" s="213"/>
      <c r="K555" s="213"/>
      <c r="L555" s="213"/>
      <c r="M555" s="213"/>
      <c r="N555" s="213"/>
      <c r="O555" s="213"/>
      <c r="P555" s="213"/>
      <c r="Q555" s="213"/>
      <c r="R555" s="213"/>
      <c r="S555" s="213"/>
      <c r="T555" s="213"/>
      <c r="U555" s="213"/>
    </row>
    <row r="556" spans="3:21" x14ac:dyDescent="0.25">
      <c r="C556" s="213"/>
      <c r="D556" s="213"/>
      <c r="E556" s="213"/>
      <c r="F556" s="213"/>
      <c r="G556" s="213"/>
      <c r="H556" s="213"/>
      <c r="I556" s="213"/>
      <c r="J556" s="213"/>
      <c r="K556" s="213"/>
      <c r="L556" s="213"/>
      <c r="M556" s="213"/>
      <c r="N556" s="213"/>
      <c r="O556" s="213"/>
      <c r="P556" s="213"/>
      <c r="Q556" s="213"/>
      <c r="R556" s="213"/>
      <c r="S556" s="213"/>
      <c r="T556" s="213"/>
      <c r="U556" s="213"/>
    </row>
    <row r="557" spans="3:21" x14ac:dyDescent="0.25">
      <c r="C557" s="213"/>
      <c r="D557" s="213"/>
      <c r="E557" s="213"/>
      <c r="F557" s="213"/>
      <c r="G557" s="213"/>
      <c r="H557" s="213"/>
      <c r="I557" s="213"/>
      <c r="J557" s="213"/>
      <c r="K557" s="213"/>
      <c r="L557" s="213"/>
      <c r="M557" s="213"/>
      <c r="N557" s="213"/>
      <c r="O557" s="213"/>
      <c r="P557" s="213"/>
      <c r="Q557" s="213"/>
      <c r="R557" s="213"/>
      <c r="S557" s="213"/>
      <c r="T557" s="213"/>
      <c r="U557" s="213"/>
    </row>
    <row r="558" spans="3:21" x14ac:dyDescent="0.25">
      <c r="C558" s="213"/>
      <c r="D558" s="213"/>
      <c r="E558" s="213"/>
      <c r="F558" s="213"/>
      <c r="G558" s="213"/>
      <c r="H558" s="213"/>
      <c r="I558" s="213"/>
      <c r="J558" s="213"/>
      <c r="K558" s="213"/>
      <c r="L558" s="213"/>
      <c r="M558" s="213"/>
      <c r="N558" s="213"/>
      <c r="O558" s="213"/>
      <c r="P558" s="213"/>
      <c r="Q558" s="213"/>
      <c r="R558" s="213"/>
      <c r="S558" s="213"/>
      <c r="T558" s="213"/>
      <c r="U558" s="213"/>
    </row>
    <row r="559" spans="3:21" x14ac:dyDescent="0.25">
      <c r="C559" s="213"/>
      <c r="D559" s="213"/>
      <c r="E559" s="213"/>
      <c r="F559" s="213"/>
      <c r="G559" s="213"/>
      <c r="H559" s="213"/>
      <c r="I559" s="213"/>
      <c r="J559" s="213"/>
      <c r="K559" s="213"/>
      <c r="L559" s="213"/>
      <c r="M559" s="213"/>
      <c r="N559" s="213"/>
      <c r="O559" s="213"/>
      <c r="P559" s="213"/>
      <c r="Q559" s="213"/>
      <c r="R559" s="213"/>
      <c r="S559" s="213"/>
      <c r="T559" s="213"/>
      <c r="U559" s="213"/>
    </row>
    <row r="560" spans="3:21" x14ac:dyDescent="0.25">
      <c r="C560" s="213"/>
      <c r="D560" s="213"/>
      <c r="E560" s="213"/>
      <c r="F560" s="213"/>
      <c r="G560" s="213"/>
      <c r="H560" s="213"/>
      <c r="I560" s="213"/>
      <c r="J560" s="213"/>
      <c r="K560" s="213"/>
      <c r="L560" s="213"/>
      <c r="M560" s="213"/>
      <c r="N560" s="213"/>
      <c r="O560" s="213"/>
      <c r="P560" s="213"/>
      <c r="Q560" s="213"/>
      <c r="R560" s="213"/>
      <c r="S560" s="213"/>
      <c r="T560" s="213"/>
      <c r="U560" s="213"/>
    </row>
    <row r="561" spans="3:21" x14ac:dyDescent="0.25">
      <c r="C561" s="213"/>
      <c r="D561" s="213"/>
      <c r="E561" s="213"/>
      <c r="F561" s="213"/>
      <c r="G561" s="213"/>
      <c r="H561" s="213"/>
      <c r="I561" s="213"/>
      <c r="J561" s="213"/>
      <c r="K561" s="213"/>
      <c r="L561" s="213"/>
      <c r="M561" s="213"/>
      <c r="N561" s="213"/>
      <c r="O561" s="213"/>
      <c r="P561" s="213"/>
      <c r="Q561" s="213"/>
      <c r="R561" s="213"/>
      <c r="S561" s="213"/>
      <c r="T561" s="213"/>
      <c r="U561" s="213"/>
    </row>
    <row r="562" spans="3:21" x14ac:dyDescent="0.25">
      <c r="C562" s="213"/>
      <c r="D562" s="213"/>
      <c r="E562" s="213"/>
      <c r="F562" s="213"/>
      <c r="G562" s="213"/>
      <c r="H562" s="213"/>
      <c r="I562" s="213"/>
      <c r="J562" s="213"/>
      <c r="K562" s="213"/>
      <c r="L562" s="213"/>
      <c r="M562" s="213"/>
      <c r="N562" s="213"/>
      <c r="O562" s="213"/>
      <c r="P562" s="213"/>
      <c r="Q562" s="213"/>
      <c r="R562" s="213"/>
      <c r="S562" s="213"/>
      <c r="T562" s="213"/>
      <c r="U562" s="213"/>
    </row>
    <row r="563" spans="3:21" x14ac:dyDescent="0.25">
      <c r="C563" s="213"/>
      <c r="D563" s="213"/>
      <c r="E563" s="213"/>
      <c r="F563" s="213"/>
      <c r="G563" s="213"/>
      <c r="H563" s="213"/>
      <c r="I563" s="213"/>
      <c r="J563" s="213"/>
      <c r="K563" s="213"/>
      <c r="L563" s="213"/>
      <c r="M563" s="213"/>
      <c r="N563" s="213"/>
      <c r="O563" s="213"/>
      <c r="P563" s="213"/>
      <c r="Q563" s="213"/>
      <c r="R563" s="213"/>
      <c r="S563" s="213"/>
      <c r="T563" s="213"/>
      <c r="U563" s="213"/>
    </row>
    <row r="564" spans="3:21" x14ac:dyDescent="0.25">
      <c r="C564" s="213"/>
      <c r="D564" s="213"/>
      <c r="E564" s="213"/>
      <c r="F564" s="213"/>
      <c r="G564" s="213"/>
      <c r="H564" s="213"/>
      <c r="I564" s="213"/>
      <c r="J564" s="213"/>
      <c r="K564" s="213"/>
      <c r="L564" s="213"/>
      <c r="M564" s="213"/>
      <c r="N564" s="213"/>
      <c r="O564" s="213"/>
      <c r="P564" s="213"/>
      <c r="Q564" s="213"/>
      <c r="R564" s="213"/>
      <c r="S564" s="213"/>
      <c r="T564" s="213"/>
      <c r="U564" s="213"/>
    </row>
    <row r="565" spans="3:21" x14ac:dyDescent="0.25">
      <c r="C565" s="213"/>
      <c r="D565" s="213"/>
      <c r="E565" s="213"/>
      <c r="F565" s="213"/>
      <c r="G565" s="213"/>
      <c r="H565" s="213"/>
      <c r="I565" s="213"/>
      <c r="J565" s="213"/>
      <c r="K565" s="213"/>
      <c r="L565" s="213"/>
      <c r="M565" s="213"/>
      <c r="N565" s="213"/>
      <c r="O565" s="213"/>
      <c r="P565" s="213"/>
      <c r="Q565" s="213"/>
      <c r="R565" s="213"/>
      <c r="S565" s="213"/>
      <c r="T565" s="213"/>
      <c r="U565" s="213"/>
    </row>
    <row r="566" spans="3:21" x14ac:dyDescent="0.25">
      <c r="C566" s="213"/>
      <c r="D566" s="213"/>
      <c r="E566" s="213"/>
      <c r="F566" s="213"/>
      <c r="G566" s="213"/>
      <c r="H566" s="213"/>
      <c r="I566" s="213"/>
      <c r="J566" s="213"/>
      <c r="K566" s="213"/>
      <c r="L566" s="213"/>
      <c r="M566" s="213"/>
      <c r="N566" s="213"/>
      <c r="O566" s="213"/>
      <c r="P566" s="213"/>
      <c r="Q566" s="213"/>
      <c r="R566" s="213"/>
      <c r="S566" s="213"/>
      <c r="T566" s="213"/>
      <c r="U566" s="213"/>
    </row>
    <row r="567" spans="3:21" x14ac:dyDescent="0.25">
      <c r="C567" s="213"/>
      <c r="D567" s="213"/>
      <c r="E567" s="213"/>
      <c r="F567" s="213"/>
      <c r="G567" s="213"/>
      <c r="H567" s="213"/>
      <c r="I567" s="213"/>
      <c r="J567" s="213"/>
      <c r="K567" s="213"/>
      <c r="L567" s="213"/>
      <c r="M567" s="213"/>
      <c r="N567" s="213"/>
      <c r="O567" s="213"/>
      <c r="P567" s="213"/>
      <c r="Q567" s="213"/>
      <c r="R567" s="213"/>
      <c r="S567" s="213"/>
      <c r="T567" s="213"/>
      <c r="U567" s="213"/>
    </row>
    <row r="568" spans="3:21" x14ac:dyDescent="0.25">
      <c r="C568" s="213"/>
      <c r="D568" s="213"/>
      <c r="E568" s="213"/>
      <c r="F568" s="213"/>
      <c r="G568" s="213"/>
      <c r="H568" s="213"/>
      <c r="I568" s="213"/>
      <c r="J568" s="213"/>
      <c r="K568" s="213"/>
      <c r="L568" s="213"/>
      <c r="M568" s="213"/>
      <c r="N568" s="213"/>
      <c r="O568" s="213"/>
      <c r="P568" s="213"/>
      <c r="Q568" s="213"/>
      <c r="R568" s="213"/>
      <c r="S568" s="213"/>
      <c r="T568" s="213"/>
      <c r="U568" s="213"/>
    </row>
    <row r="569" spans="3:21" x14ac:dyDescent="0.25">
      <c r="C569" s="213"/>
      <c r="D569" s="213"/>
      <c r="E569" s="213"/>
      <c r="F569" s="213"/>
      <c r="G569" s="213"/>
      <c r="H569" s="213"/>
      <c r="I569" s="213"/>
      <c r="J569" s="213"/>
      <c r="K569" s="213"/>
      <c r="L569" s="213"/>
      <c r="M569" s="213"/>
      <c r="N569" s="213"/>
      <c r="O569" s="213"/>
      <c r="P569" s="213"/>
      <c r="Q569" s="213"/>
      <c r="R569" s="213"/>
      <c r="S569" s="213"/>
      <c r="T569" s="213"/>
      <c r="U569" s="213"/>
    </row>
    <row r="570" spans="3:21" x14ac:dyDescent="0.25">
      <c r="C570" s="213"/>
      <c r="D570" s="213"/>
      <c r="E570" s="213"/>
      <c r="F570" s="213"/>
      <c r="G570" s="213"/>
      <c r="H570" s="213"/>
      <c r="I570" s="213"/>
      <c r="J570" s="213"/>
      <c r="K570" s="213"/>
      <c r="L570" s="213"/>
      <c r="M570" s="213"/>
      <c r="N570" s="213"/>
      <c r="O570" s="213"/>
      <c r="P570" s="213"/>
      <c r="Q570" s="213"/>
      <c r="R570" s="213"/>
      <c r="S570" s="213"/>
      <c r="T570" s="213"/>
      <c r="U570" s="213"/>
    </row>
    <row r="571" spans="3:21" x14ac:dyDescent="0.25">
      <c r="C571" s="213"/>
      <c r="D571" s="213"/>
      <c r="E571" s="213"/>
      <c r="F571" s="213"/>
      <c r="G571" s="213"/>
      <c r="H571" s="213"/>
      <c r="I571" s="213"/>
      <c r="J571" s="213"/>
      <c r="K571" s="213"/>
      <c r="L571" s="213"/>
      <c r="M571" s="213"/>
      <c r="N571" s="213"/>
      <c r="O571" s="213"/>
      <c r="P571" s="213"/>
      <c r="Q571" s="213"/>
      <c r="R571" s="213"/>
      <c r="S571" s="213"/>
      <c r="T571" s="213"/>
      <c r="U571" s="213"/>
    </row>
    <row r="572" spans="3:21" x14ac:dyDescent="0.25">
      <c r="C572" s="213"/>
      <c r="D572" s="213"/>
      <c r="E572" s="213"/>
      <c r="F572" s="213"/>
      <c r="G572" s="213"/>
      <c r="H572" s="213"/>
      <c r="I572" s="213"/>
      <c r="J572" s="213"/>
      <c r="K572" s="213"/>
      <c r="L572" s="213"/>
      <c r="M572" s="213"/>
      <c r="N572" s="213"/>
      <c r="O572" s="213"/>
      <c r="P572" s="213"/>
      <c r="Q572" s="213"/>
      <c r="R572" s="213"/>
      <c r="S572" s="213"/>
      <c r="T572" s="213"/>
      <c r="U572" s="213"/>
    </row>
    <row r="573" spans="3:21" x14ac:dyDescent="0.25">
      <c r="C573" s="213"/>
      <c r="D573" s="213"/>
      <c r="E573" s="213"/>
      <c r="F573" s="213"/>
      <c r="G573" s="213"/>
      <c r="H573" s="213"/>
      <c r="I573" s="213"/>
      <c r="J573" s="213"/>
      <c r="K573" s="213"/>
      <c r="L573" s="213"/>
      <c r="M573" s="213"/>
      <c r="N573" s="213"/>
      <c r="O573" s="213"/>
      <c r="P573" s="213"/>
      <c r="Q573" s="213"/>
      <c r="R573" s="213"/>
      <c r="S573" s="213"/>
      <c r="T573" s="213"/>
      <c r="U573" s="213"/>
    </row>
    <row r="574" spans="3:21" x14ac:dyDescent="0.25">
      <c r="C574" s="213"/>
      <c r="D574" s="213"/>
      <c r="E574" s="213"/>
      <c r="F574" s="213"/>
      <c r="G574" s="213"/>
      <c r="H574" s="213"/>
      <c r="I574" s="213"/>
      <c r="J574" s="213"/>
      <c r="K574" s="213"/>
      <c r="L574" s="213"/>
      <c r="M574" s="213"/>
      <c r="N574" s="213"/>
      <c r="O574" s="213"/>
      <c r="P574" s="213"/>
      <c r="Q574" s="213"/>
      <c r="R574" s="213"/>
      <c r="S574" s="213"/>
      <c r="T574" s="213"/>
      <c r="U574" s="213"/>
    </row>
    <row r="575" spans="3:21" x14ac:dyDescent="0.25">
      <c r="C575" s="213"/>
      <c r="D575" s="213"/>
      <c r="E575" s="213"/>
      <c r="F575" s="213"/>
      <c r="G575" s="213"/>
      <c r="H575" s="213"/>
      <c r="I575" s="213"/>
      <c r="J575" s="213"/>
      <c r="K575" s="213"/>
      <c r="L575" s="213"/>
      <c r="M575" s="213"/>
      <c r="N575" s="213"/>
      <c r="O575" s="213"/>
      <c r="P575" s="213"/>
      <c r="Q575" s="213"/>
      <c r="R575" s="213"/>
      <c r="S575" s="213"/>
      <c r="T575" s="213"/>
      <c r="U575" s="213"/>
    </row>
    <row r="576" spans="3:21" x14ac:dyDescent="0.25">
      <c r="C576" s="213"/>
      <c r="D576" s="213"/>
      <c r="E576" s="213"/>
      <c r="F576" s="213"/>
      <c r="G576" s="213"/>
      <c r="H576" s="213"/>
      <c r="I576" s="213"/>
      <c r="J576" s="213"/>
      <c r="K576" s="213"/>
      <c r="L576" s="213"/>
      <c r="M576" s="213"/>
      <c r="N576" s="213"/>
      <c r="O576" s="213"/>
      <c r="P576" s="213"/>
      <c r="Q576" s="213"/>
      <c r="R576" s="213"/>
      <c r="S576" s="213"/>
      <c r="T576" s="213"/>
      <c r="U576" s="213"/>
    </row>
    <row r="577" spans="3:21" x14ac:dyDescent="0.25">
      <c r="C577" s="213"/>
      <c r="D577" s="213"/>
      <c r="E577" s="213"/>
      <c r="F577" s="213"/>
      <c r="G577" s="213"/>
      <c r="H577" s="213"/>
      <c r="I577" s="213"/>
      <c r="J577" s="213"/>
      <c r="K577" s="213"/>
      <c r="L577" s="213"/>
      <c r="M577" s="213"/>
      <c r="N577" s="213"/>
      <c r="O577" s="213"/>
      <c r="P577" s="213"/>
      <c r="Q577" s="213"/>
      <c r="R577" s="213"/>
      <c r="S577" s="213"/>
      <c r="T577" s="213"/>
      <c r="U577" s="213"/>
    </row>
    <row r="578" spans="3:21" x14ac:dyDescent="0.25">
      <c r="C578" s="213"/>
      <c r="D578" s="213"/>
      <c r="E578" s="213"/>
      <c r="F578" s="213"/>
      <c r="G578" s="213"/>
      <c r="H578" s="213"/>
      <c r="I578" s="213"/>
      <c r="J578" s="213"/>
      <c r="K578" s="213"/>
      <c r="L578" s="213"/>
      <c r="M578" s="213"/>
      <c r="N578" s="213"/>
      <c r="O578" s="213"/>
      <c r="P578" s="213"/>
      <c r="Q578" s="213"/>
      <c r="R578" s="213"/>
      <c r="S578" s="213"/>
      <c r="T578" s="213"/>
      <c r="U578" s="213"/>
    </row>
    <row r="579" spans="3:21" x14ac:dyDescent="0.25">
      <c r="C579" s="213"/>
      <c r="D579" s="213"/>
      <c r="E579" s="213"/>
      <c r="F579" s="213"/>
      <c r="G579" s="213"/>
      <c r="H579" s="213"/>
      <c r="I579" s="213"/>
      <c r="J579" s="213"/>
      <c r="K579" s="213"/>
      <c r="L579" s="213"/>
      <c r="M579" s="213"/>
      <c r="N579" s="213"/>
      <c r="O579" s="213"/>
      <c r="P579" s="213"/>
      <c r="Q579" s="213"/>
      <c r="R579" s="213"/>
      <c r="S579" s="213"/>
      <c r="T579" s="213"/>
      <c r="U579" s="213"/>
    </row>
    <row r="580" spans="3:21" x14ac:dyDescent="0.25">
      <c r="C580" s="213"/>
      <c r="D580" s="213"/>
      <c r="E580" s="213"/>
      <c r="F580" s="213"/>
      <c r="G580" s="213"/>
      <c r="H580" s="213"/>
      <c r="I580" s="213"/>
      <c r="J580" s="213"/>
      <c r="K580" s="213"/>
      <c r="L580" s="213"/>
      <c r="M580" s="213"/>
      <c r="N580" s="213"/>
      <c r="O580" s="213"/>
      <c r="P580" s="213"/>
      <c r="Q580" s="213"/>
      <c r="R580" s="213"/>
      <c r="S580" s="213"/>
      <c r="T580" s="213"/>
      <c r="U580" s="213"/>
    </row>
    <row r="581" spans="3:21" x14ac:dyDescent="0.25">
      <c r="C581" s="213"/>
      <c r="D581" s="213"/>
      <c r="E581" s="213"/>
      <c r="F581" s="213"/>
      <c r="G581" s="213"/>
      <c r="H581" s="213"/>
      <c r="I581" s="213"/>
      <c r="J581" s="213"/>
      <c r="K581" s="213"/>
      <c r="L581" s="213"/>
      <c r="M581" s="213"/>
      <c r="N581" s="213"/>
      <c r="O581" s="213"/>
      <c r="P581" s="213"/>
      <c r="Q581" s="213"/>
      <c r="R581" s="213"/>
      <c r="S581" s="213"/>
      <c r="T581" s="213"/>
      <c r="U581" s="213"/>
    </row>
    <row r="582" spans="3:21" x14ac:dyDescent="0.25">
      <c r="C582" s="213"/>
      <c r="D582" s="213"/>
      <c r="E582" s="213"/>
      <c r="F582" s="213"/>
      <c r="G582" s="213"/>
      <c r="H582" s="213"/>
      <c r="I582" s="213"/>
      <c r="J582" s="213"/>
      <c r="K582" s="213"/>
      <c r="L582" s="213"/>
      <c r="M582" s="213"/>
      <c r="N582" s="213"/>
      <c r="O582" s="213"/>
      <c r="P582" s="213"/>
      <c r="Q582" s="213"/>
      <c r="R582" s="213"/>
      <c r="S582" s="213"/>
      <c r="T582" s="213"/>
      <c r="U582" s="213"/>
    </row>
    <row r="583" spans="3:21" x14ac:dyDescent="0.25">
      <c r="C583" s="213"/>
      <c r="D583" s="213"/>
      <c r="E583" s="213"/>
      <c r="F583" s="213"/>
      <c r="G583" s="213"/>
      <c r="H583" s="213"/>
      <c r="I583" s="213"/>
      <c r="J583" s="213"/>
      <c r="K583" s="213"/>
      <c r="L583" s="213"/>
      <c r="M583" s="213"/>
      <c r="N583" s="213"/>
      <c r="O583" s="213"/>
      <c r="P583" s="213"/>
      <c r="Q583" s="213"/>
      <c r="R583" s="213"/>
      <c r="S583" s="213"/>
      <c r="T583" s="213"/>
      <c r="U583" s="213"/>
    </row>
    <row r="584" spans="3:21" x14ac:dyDescent="0.25">
      <c r="C584" s="213"/>
      <c r="D584" s="213"/>
      <c r="E584" s="213"/>
      <c r="F584" s="213"/>
      <c r="G584" s="213"/>
      <c r="H584" s="213"/>
      <c r="I584" s="213"/>
      <c r="J584" s="213"/>
      <c r="K584" s="213"/>
      <c r="L584" s="213"/>
      <c r="M584" s="213"/>
      <c r="N584" s="213"/>
      <c r="O584" s="213"/>
      <c r="P584" s="213"/>
      <c r="Q584" s="213"/>
      <c r="R584" s="213"/>
      <c r="S584" s="213"/>
      <c r="T584" s="213"/>
      <c r="U584" s="213"/>
    </row>
    <row r="585" spans="3:21" x14ac:dyDescent="0.25">
      <c r="C585" s="213"/>
      <c r="D585" s="213"/>
      <c r="E585" s="213"/>
      <c r="F585" s="213"/>
      <c r="G585" s="213"/>
      <c r="H585" s="213"/>
      <c r="I585" s="213"/>
      <c r="J585" s="213"/>
      <c r="K585" s="213"/>
      <c r="L585" s="213"/>
      <c r="M585" s="213"/>
      <c r="N585" s="213"/>
      <c r="O585" s="213"/>
      <c r="P585" s="213"/>
      <c r="Q585" s="213"/>
      <c r="R585" s="213"/>
      <c r="S585" s="213"/>
      <c r="T585" s="213"/>
      <c r="U585" s="213"/>
    </row>
    <row r="586" spans="3:21" x14ac:dyDescent="0.25">
      <c r="C586" s="213"/>
      <c r="D586" s="213"/>
      <c r="E586" s="213"/>
      <c r="F586" s="213"/>
      <c r="G586" s="213"/>
      <c r="H586" s="213"/>
      <c r="I586" s="213"/>
      <c r="J586" s="213"/>
      <c r="K586" s="213"/>
      <c r="L586" s="213"/>
      <c r="M586" s="213"/>
      <c r="N586" s="213"/>
      <c r="O586" s="213"/>
      <c r="P586" s="213"/>
      <c r="Q586" s="213"/>
      <c r="R586" s="213"/>
      <c r="S586" s="213"/>
      <c r="T586" s="213"/>
      <c r="U586" s="213"/>
    </row>
    <row r="587" spans="3:21" x14ac:dyDescent="0.25">
      <c r="C587" s="213"/>
      <c r="D587" s="213"/>
      <c r="E587" s="213"/>
      <c r="F587" s="213"/>
      <c r="G587" s="213"/>
      <c r="H587" s="213"/>
      <c r="I587" s="213"/>
      <c r="J587" s="213"/>
      <c r="K587" s="213"/>
      <c r="L587" s="213"/>
      <c r="M587" s="213"/>
      <c r="N587" s="213"/>
      <c r="O587" s="213"/>
      <c r="P587" s="213"/>
      <c r="Q587" s="213"/>
      <c r="R587" s="213"/>
      <c r="S587" s="213"/>
      <c r="T587" s="213"/>
      <c r="U587" s="213"/>
    </row>
    <row r="588" spans="3:21" x14ac:dyDescent="0.25">
      <c r="C588" s="213"/>
      <c r="D588" s="213"/>
      <c r="E588" s="213"/>
      <c r="F588" s="213"/>
      <c r="G588" s="213"/>
      <c r="H588" s="213"/>
      <c r="I588" s="213"/>
      <c r="J588" s="213"/>
      <c r="K588" s="213"/>
      <c r="L588" s="213"/>
      <c r="M588" s="213"/>
      <c r="N588" s="213"/>
      <c r="O588" s="213"/>
      <c r="P588" s="213"/>
      <c r="Q588" s="213"/>
      <c r="R588" s="213"/>
      <c r="S588" s="213"/>
      <c r="T588" s="213"/>
      <c r="U588" s="213"/>
    </row>
    <row r="589" spans="3:21" x14ac:dyDescent="0.25">
      <c r="C589" s="213"/>
      <c r="D589" s="213"/>
      <c r="E589" s="213"/>
      <c r="F589" s="213"/>
      <c r="G589" s="213"/>
      <c r="H589" s="213"/>
      <c r="I589" s="213"/>
      <c r="J589" s="213"/>
      <c r="K589" s="213"/>
      <c r="L589" s="213"/>
      <c r="M589" s="213"/>
      <c r="N589" s="213"/>
      <c r="O589" s="213"/>
      <c r="P589" s="213"/>
      <c r="Q589" s="213"/>
      <c r="R589" s="213"/>
      <c r="S589" s="213"/>
      <c r="T589" s="213"/>
      <c r="U589" s="213"/>
    </row>
    <row r="590" spans="3:21" x14ac:dyDescent="0.25">
      <c r="C590" s="213"/>
      <c r="D590" s="213"/>
      <c r="E590" s="213"/>
      <c r="F590" s="213"/>
      <c r="G590" s="213"/>
      <c r="H590" s="213"/>
      <c r="I590" s="213"/>
      <c r="J590" s="213"/>
      <c r="K590" s="213"/>
      <c r="L590" s="213"/>
      <c r="M590" s="213"/>
      <c r="N590" s="213"/>
      <c r="O590" s="213"/>
      <c r="P590" s="213"/>
      <c r="Q590" s="213"/>
      <c r="R590" s="213"/>
      <c r="S590" s="213"/>
      <c r="T590" s="213"/>
      <c r="U590" s="213"/>
    </row>
    <row r="591" spans="3:21" x14ac:dyDescent="0.25">
      <c r="C591" s="213"/>
      <c r="D591" s="213"/>
      <c r="E591" s="213"/>
      <c r="F591" s="213"/>
      <c r="G591" s="213"/>
      <c r="H591" s="213"/>
      <c r="I591" s="213"/>
      <c r="J591" s="213"/>
      <c r="K591" s="213"/>
      <c r="L591" s="213"/>
      <c r="M591" s="213"/>
      <c r="N591" s="213"/>
      <c r="O591" s="213"/>
      <c r="P591" s="213"/>
      <c r="Q591" s="213"/>
      <c r="R591" s="213"/>
      <c r="S591" s="213"/>
      <c r="T591" s="213"/>
      <c r="U591" s="213"/>
    </row>
    <row r="592" spans="3:21" x14ac:dyDescent="0.25">
      <c r="C592" s="213"/>
      <c r="D592" s="213"/>
      <c r="E592" s="213"/>
      <c r="F592" s="213"/>
      <c r="G592" s="213"/>
      <c r="H592" s="213"/>
      <c r="I592" s="213"/>
      <c r="J592" s="213"/>
      <c r="K592" s="213"/>
      <c r="L592" s="213"/>
      <c r="M592" s="213"/>
      <c r="N592" s="213"/>
      <c r="O592" s="213"/>
      <c r="P592" s="213"/>
      <c r="Q592" s="213"/>
      <c r="R592" s="213"/>
      <c r="S592" s="213"/>
      <c r="T592" s="213"/>
      <c r="U592" s="213"/>
    </row>
    <row r="593" spans="3:21" x14ac:dyDescent="0.25">
      <c r="C593" s="213"/>
      <c r="D593" s="213"/>
      <c r="E593" s="213"/>
      <c r="F593" s="213"/>
      <c r="G593" s="213"/>
      <c r="H593" s="213"/>
      <c r="I593" s="213"/>
      <c r="J593" s="213"/>
      <c r="K593" s="213"/>
      <c r="L593" s="213"/>
      <c r="M593" s="213"/>
      <c r="N593" s="213"/>
      <c r="O593" s="213"/>
      <c r="P593" s="213"/>
      <c r="Q593" s="213"/>
      <c r="R593" s="213"/>
      <c r="S593" s="213"/>
      <c r="T593" s="213"/>
      <c r="U593" s="213"/>
    </row>
    <row r="594" spans="3:21" x14ac:dyDescent="0.25">
      <c r="C594" s="213"/>
      <c r="D594" s="213"/>
      <c r="E594" s="213"/>
      <c r="F594" s="213"/>
      <c r="G594" s="213"/>
      <c r="H594" s="213"/>
      <c r="I594" s="213"/>
      <c r="J594" s="213"/>
      <c r="K594" s="213"/>
      <c r="L594" s="213"/>
      <c r="M594" s="213"/>
      <c r="N594" s="213"/>
      <c r="O594" s="213"/>
      <c r="P594" s="213"/>
      <c r="Q594" s="213"/>
      <c r="R594" s="213"/>
      <c r="S594" s="213"/>
      <c r="T594" s="213"/>
      <c r="U594" s="213"/>
    </row>
    <row r="595" spans="3:21" x14ac:dyDescent="0.25">
      <c r="C595" s="213"/>
      <c r="D595" s="213"/>
      <c r="E595" s="213"/>
      <c r="F595" s="213"/>
      <c r="G595" s="213"/>
      <c r="H595" s="213"/>
      <c r="I595" s="213"/>
      <c r="J595" s="213"/>
      <c r="K595" s="213"/>
      <c r="L595" s="213"/>
      <c r="M595" s="213"/>
      <c r="N595" s="213"/>
      <c r="O595" s="213"/>
      <c r="P595" s="213"/>
      <c r="Q595" s="213"/>
      <c r="R595" s="213"/>
      <c r="S595" s="213"/>
      <c r="T595" s="213"/>
      <c r="U595" s="213"/>
    </row>
    <row r="596" spans="3:21" x14ac:dyDescent="0.25">
      <c r="C596" s="213"/>
      <c r="D596" s="213"/>
      <c r="E596" s="213"/>
      <c r="F596" s="213"/>
      <c r="G596" s="213"/>
      <c r="H596" s="213"/>
      <c r="I596" s="213"/>
      <c r="J596" s="213"/>
      <c r="K596" s="213"/>
      <c r="L596" s="213"/>
      <c r="M596" s="213"/>
      <c r="N596" s="213"/>
      <c r="O596" s="213"/>
      <c r="P596" s="213"/>
      <c r="Q596" s="213"/>
      <c r="R596" s="213"/>
      <c r="S596" s="213"/>
      <c r="T596" s="213"/>
      <c r="U596" s="213"/>
    </row>
    <row r="597" spans="3:21" x14ac:dyDescent="0.25">
      <c r="C597" s="213"/>
      <c r="D597" s="213"/>
      <c r="E597" s="213"/>
      <c r="F597" s="213"/>
      <c r="G597" s="213"/>
      <c r="H597" s="213"/>
      <c r="I597" s="213"/>
      <c r="J597" s="213"/>
      <c r="K597" s="213"/>
      <c r="L597" s="213"/>
      <c r="M597" s="213"/>
      <c r="N597" s="213"/>
      <c r="O597" s="213"/>
      <c r="P597" s="213"/>
      <c r="Q597" s="213"/>
      <c r="R597" s="213"/>
      <c r="S597" s="213"/>
      <c r="T597" s="213"/>
      <c r="U597" s="213"/>
    </row>
    <row r="598" spans="3:21" x14ac:dyDescent="0.25">
      <c r="C598" s="213"/>
      <c r="D598" s="213"/>
      <c r="E598" s="213"/>
      <c r="F598" s="213"/>
      <c r="G598" s="213"/>
      <c r="H598" s="213"/>
      <c r="I598" s="213"/>
      <c r="J598" s="213"/>
      <c r="K598" s="213"/>
      <c r="L598" s="213"/>
      <c r="M598" s="213"/>
      <c r="N598" s="213"/>
      <c r="O598" s="213"/>
      <c r="P598" s="213"/>
      <c r="Q598" s="213"/>
      <c r="R598" s="213"/>
      <c r="S598" s="213"/>
      <c r="T598" s="213"/>
      <c r="U598" s="213"/>
    </row>
    <row r="599" spans="3:21" x14ac:dyDescent="0.25">
      <c r="C599" s="213"/>
      <c r="D599" s="213"/>
      <c r="E599" s="213"/>
      <c r="F599" s="213"/>
      <c r="G599" s="213"/>
      <c r="H599" s="213"/>
      <c r="I599" s="213"/>
      <c r="J599" s="213"/>
      <c r="K599" s="213"/>
      <c r="L599" s="213"/>
      <c r="M599" s="213"/>
      <c r="N599" s="213"/>
      <c r="O599" s="213"/>
      <c r="P599" s="213"/>
      <c r="Q599" s="213"/>
      <c r="R599" s="213"/>
      <c r="S599" s="213"/>
      <c r="T599" s="213"/>
      <c r="U599" s="213"/>
    </row>
    <row r="600" spans="3:21" x14ac:dyDescent="0.25">
      <c r="C600" s="213"/>
      <c r="D600" s="213"/>
      <c r="E600" s="213"/>
      <c r="F600" s="213"/>
      <c r="G600" s="213"/>
      <c r="H600" s="213"/>
      <c r="I600" s="213"/>
      <c r="J600" s="213"/>
      <c r="K600" s="213"/>
      <c r="L600" s="213"/>
      <c r="M600" s="213"/>
      <c r="N600" s="213"/>
      <c r="O600" s="213"/>
      <c r="P600" s="213"/>
      <c r="Q600" s="213"/>
      <c r="R600" s="213"/>
      <c r="S600" s="213"/>
      <c r="T600" s="213"/>
      <c r="U600" s="213"/>
    </row>
    <row r="601" spans="3:21" x14ac:dyDescent="0.25">
      <c r="C601" s="213"/>
      <c r="D601" s="213"/>
      <c r="E601" s="213"/>
      <c r="F601" s="213"/>
      <c r="G601" s="213"/>
      <c r="H601" s="213"/>
      <c r="I601" s="213"/>
      <c r="J601" s="213"/>
      <c r="K601" s="213"/>
      <c r="L601" s="213"/>
      <c r="M601" s="213"/>
      <c r="N601" s="213"/>
      <c r="O601" s="213"/>
      <c r="P601" s="213"/>
      <c r="Q601" s="213"/>
      <c r="R601" s="213"/>
      <c r="S601" s="213"/>
      <c r="T601" s="213"/>
      <c r="U601" s="213"/>
    </row>
    <row r="602" spans="3:21" x14ac:dyDescent="0.25">
      <c r="C602" s="213"/>
      <c r="D602" s="213"/>
      <c r="E602" s="213"/>
      <c r="F602" s="213"/>
      <c r="G602" s="213"/>
      <c r="H602" s="213"/>
      <c r="I602" s="213"/>
      <c r="J602" s="213"/>
      <c r="K602" s="213"/>
      <c r="L602" s="213"/>
      <c r="M602" s="213"/>
      <c r="N602" s="213"/>
      <c r="O602" s="213"/>
      <c r="P602" s="213"/>
      <c r="Q602" s="213"/>
      <c r="R602" s="213"/>
      <c r="S602" s="213"/>
      <c r="T602" s="213"/>
      <c r="U602" s="213"/>
    </row>
    <row r="603" spans="3:21" x14ac:dyDescent="0.25">
      <c r="C603" s="213"/>
      <c r="D603" s="213"/>
      <c r="E603" s="213"/>
      <c r="F603" s="213"/>
      <c r="G603" s="213"/>
      <c r="H603" s="213"/>
      <c r="I603" s="213"/>
      <c r="J603" s="213"/>
      <c r="K603" s="213"/>
      <c r="L603" s="213"/>
      <c r="M603" s="213"/>
      <c r="N603" s="213"/>
      <c r="O603" s="213"/>
      <c r="P603" s="213"/>
      <c r="Q603" s="213"/>
      <c r="R603" s="213"/>
      <c r="S603" s="213"/>
      <c r="T603" s="213"/>
      <c r="U603" s="213"/>
    </row>
    <row r="604" spans="3:21" x14ac:dyDescent="0.25">
      <c r="C604" s="213"/>
      <c r="D604" s="213"/>
      <c r="E604" s="213"/>
      <c r="F604" s="213"/>
      <c r="G604" s="213"/>
      <c r="H604" s="213"/>
      <c r="I604" s="213"/>
      <c r="J604" s="213"/>
      <c r="K604" s="213"/>
      <c r="L604" s="213"/>
      <c r="M604" s="213"/>
      <c r="N604" s="213"/>
      <c r="O604" s="213"/>
      <c r="P604" s="213"/>
      <c r="Q604" s="213"/>
      <c r="R604" s="213"/>
      <c r="S604" s="213"/>
      <c r="T604" s="213"/>
      <c r="U604" s="213"/>
    </row>
    <row r="605" spans="3:21" x14ac:dyDescent="0.25">
      <c r="C605" s="213"/>
      <c r="D605" s="213"/>
      <c r="E605" s="213"/>
      <c r="F605" s="213"/>
      <c r="G605" s="213"/>
      <c r="H605" s="213"/>
      <c r="I605" s="213"/>
      <c r="J605" s="213"/>
      <c r="K605" s="213"/>
      <c r="L605" s="213"/>
      <c r="M605" s="213"/>
      <c r="N605" s="213"/>
      <c r="O605" s="213"/>
      <c r="P605" s="213"/>
      <c r="Q605" s="213"/>
      <c r="R605" s="213"/>
      <c r="S605" s="213"/>
      <c r="T605" s="213"/>
      <c r="U605" s="213"/>
    </row>
    <row r="606" spans="3:21" x14ac:dyDescent="0.25">
      <c r="C606" s="213"/>
      <c r="D606" s="213"/>
      <c r="E606" s="213"/>
      <c r="F606" s="213"/>
      <c r="G606" s="213"/>
      <c r="H606" s="213"/>
      <c r="I606" s="213"/>
      <c r="J606" s="213"/>
      <c r="K606" s="213"/>
      <c r="L606" s="213"/>
      <c r="M606" s="213"/>
      <c r="N606" s="213"/>
      <c r="O606" s="213"/>
      <c r="P606" s="213"/>
      <c r="Q606" s="213"/>
      <c r="R606" s="213"/>
      <c r="S606" s="213"/>
      <c r="T606" s="213"/>
      <c r="U606" s="213"/>
    </row>
    <row r="607" spans="3:21" x14ac:dyDescent="0.25">
      <c r="C607" s="213"/>
      <c r="D607" s="213"/>
      <c r="E607" s="213"/>
      <c r="F607" s="213"/>
      <c r="G607" s="213"/>
      <c r="H607" s="213"/>
      <c r="I607" s="213"/>
      <c r="J607" s="213"/>
      <c r="K607" s="213"/>
      <c r="L607" s="213"/>
      <c r="M607" s="213"/>
      <c r="N607" s="213"/>
      <c r="O607" s="213"/>
      <c r="P607" s="213"/>
      <c r="Q607" s="213"/>
      <c r="R607" s="213"/>
      <c r="S607" s="213"/>
      <c r="T607" s="213"/>
      <c r="U607" s="213"/>
    </row>
    <row r="608" spans="3:21" x14ac:dyDescent="0.25">
      <c r="C608" s="213"/>
      <c r="D608" s="213"/>
      <c r="E608" s="213"/>
      <c r="F608" s="213"/>
      <c r="G608" s="213"/>
      <c r="H608" s="213"/>
      <c r="I608" s="213"/>
      <c r="J608" s="213"/>
      <c r="K608" s="213"/>
      <c r="L608" s="213"/>
      <c r="M608" s="213"/>
      <c r="N608" s="213"/>
      <c r="O608" s="213"/>
      <c r="P608" s="213"/>
      <c r="Q608" s="213"/>
      <c r="R608" s="213"/>
      <c r="S608" s="213"/>
      <c r="T608" s="213"/>
      <c r="U608" s="213"/>
    </row>
    <row r="609" spans="3:21" x14ac:dyDescent="0.25">
      <c r="C609" s="213"/>
      <c r="D609" s="213"/>
      <c r="E609" s="213"/>
      <c r="F609" s="213"/>
      <c r="G609" s="213"/>
      <c r="H609" s="213"/>
      <c r="I609" s="213"/>
      <c r="J609" s="213"/>
      <c r="K609" s="213"/>
      <c r="L609" s="213"/>
      <c r="M609" s="213"/>
      <c r="N609" s="213"/>
      <c r="O609" s="213"/>
      <c r="P609" s="213"/>
      <c r="Q609" s="213"/>
      <c r="R609" s="213"/>
      <c r="S609" s="213"/>
      <c r="T609" s="213"/>
      <c r="U609" s="213"/>
    </row>
    <row r="610" spans="3:21" x14ac:dyDescent="0.25">
      <c r="C610" s="213"/>
      <c r="D610" s="213"/>
      <c r="E610" s="213"/>
      <c r="F610" s="213"/>
      <c r="G610" s="213"/>
      <c r="H610" s="213"/>
      <c r="I610" s="213"/>
      <c r="J610" s="213"/>
      <c r="K610" s="213"/>
      <c r="L610" s="213"/>
      <c r="M610" s="213"/>
      <c r="N610" s="213"/>
      <c r="O610" s="213"/>
      <c r="P610" s="213"/>
      <c r="Q610" s="213"/>
      <c r="R610" s="213"/>
      <c r="S610" s="213"/>
      <c r="T610" s="213"/>
      <c r="U610" s="213"/>
    </row>
    <row r="611" spans="3:21" x14ac:dyDescent="0.25">
      <c r="C611" s="213"/>
      <c r="D611" s="213"/>
      <c r="E611" s="213"/>
      <c r="F611" s="213"/>
      <c r="G611" s="213"/>
      <c r="H611" s="213"/>
      <c r="I611" s="213"/>
      <c r="J611" s="213"/>
      <c r="K611" s="213"/>
      <c r="L611" s="213"/>
      <c r="M611" s="213"/>
      <c r="N611" s="213"/>
      <c r="O611" s="213"/>
      <c r="P611" s="213"/>
      <c r="Q611" s="213"/>
      <c r="R611" s="213"/>
      <c r="S611" s="213"/>
      <c r="T611" s="213"/>
      <c r="U611" s="213"/>
    </row>
    <row r="612" spans="3:21" x14ac:dyDescent="0.25">
      <c r="C612" s="213"/>
      <c r="D612" s="213"/>
      <c r="E612" s="213"/>
      <c r="F612" s="213"/>
      <c r="G612" s="213"/>
      <c r="H612" s="213"/>
      <c r="I612" s="213"/>
      <c r="J612" s="213"/>
      <c r="K612" s="213"/>
      <c r="L612" s="213"/>
      <c r="M612" s="213"/>
      <c r="N612" s="213"/>
      <c r="O612" s="213"/>
      <c r="P612" s="213"/>
      <c r="Q612" s="213"/>
      <c r="R612" s="213"/>
      <c r="S612" s="213"/>
      <c r="T612" s="213"/>
      <c r="U612" s="213"/>
    </row>
    <row r="613" spans="3:21" x14ac:dyDescent="0.25">
      <c r="C613" s="213"/>
      <c r="D613" s="213"/>
      <c r="E613" s="213"/>
      <c r="F613" s="213"/>
      <c r="G613" s="213"/>
      <c r="H613" s="213"/>
      <c r="I613" s="213"/>
      <c r="J613" s="213"/>
      <c r="K613" s="213"/>
      <c r="L613" s="213"/>
      <c r="M613" s="213"/>
      <c r="N613" s="213"/>
      <c r="O613" s="213"/>
      <c r="P613" s="213"/>
      <c r="Q613" s="213"/>
      <c r="R613" s="213"/>
      <c r="S613" s="213"/>
      <c r="T613" s="213"/>
      <c r="U613" s="213"/>
    </row>
    <row r="614" spans="3:21" x14ac:dyDescent="0.25">
      <c r="C614" s="213"/>
      <c r="D614" s="213"/>
      <c r="E614" s="213"/>
      <c r="F614" s="213"/>
      <c r="G614" s="213"/>
      <c r="H614" s="213"/>
      <c r="I614" s="213"/>
      <c r="J614" s="213"/>
      <c r="K614" s="213"/>
      <c r="L614" s="213"/>
      <c r="M614" s="213"/>
      <c r="N614" s="213"/>
      <c r="O614" s="213"/>
      <c r="P614" s="213"/>
      <c r="Q614" s="213"/>
      <c r="R614" s="213"/>
      <c r="S614" s="213"/>
      <c r="T614" s="213"/>
      <c r="U614" s="213"/>
    </row>
    <row r="615" spans="3:21" x14ac:dyDescent="0.25">
      <c r="C615" s="213"/>
      <c r="D615" s="213"/>
      <c r="E615" s="213"/>
      <c r="F615" s="213"/>
      <c r="G615" s="213"/>
      <c r="H615" s="213"/>
      <c r="I615" s="213"/>
      <c r="J615" s="213"/>
      <c r="K615" s="213"/>
      <c r="L615" s="213"/>
      <c r="M615" s="213"/>
      <c r="N615" s="213"/>
      <c r="O615" s="213"/>
      <c r="P615" s="213"/>
      <c r="Q615" s="213"/>
      <c r="R615" s="213"/>
      <c r="S615" s="213"/>
      <c r="T615" s="213"/>
      <c r="U615" s="213"/>
    </row>
    <row r="616" spans="3:21" x14ac:dyDescent="0.25">
      <c r="C616" s="213"/>
      <c r="D616" s="213"/>
      <c r="E616" s="213"/>
      <c r="F616" s="213"/>
      <c r="G616" s="213"/>
      <c r="H616" s="213"/>
      <c r="I616" s="213"/>
      <c r="J616" s="213"/>
      <c r="K616" s="213"/>
      <c r="L616" s="213"/>
      <c r="M616" s="213"/>
      <c r="N616" s="213"/>
      <c r="O616" s="213"/>
      <c r="P616" s="213"/>
      <c r="Q616" s="213"/>
      <c r="R616" s="213"/>
      <c r="S616" s="213"/>
      <c r="T616" s="213"/>
      <c r="U616" s="213"/>
    </row>
    <row r="617" spans="3:21" x14ac:dyDescent="0.25">
      <c r="C617" s="213"/>
      <c r="D617" s="213"/>
      <c r="E617" s="213"/>
      <c r="F617" s="213"/>
      <c r="G617" s="213"/>
      <c r="H617" s="213"/>
      <c r="I617" s="213"/>
      <c r="J617" s="213"/>
      <c r="K617" s="213"/>
      <c r="L617" s="213"/>
      <c r="M617" s="213"/>
      <c r="N617" s="213"/>
      <c r="O617" s="213"/>
      <c r="P617" s="213"/>
      <c r="Q617" s="213"/>
      <c r="R617" s="213"/>
      <c r="S617" s="213"/>
      <c r="T617" s="213"/>
      <c r="U617" s="213"/>
    </row>
    <row r="618" spans="3:21" x14ac:dyDescent="0.25">
      <c r="C618" s="213"/>
      <c r="D618" s="213"/>
      <c r="E618" s="213"/>
      <c r="F618" s="213"/>
      <c r="G618" s="213"/>
      <c r="H618" s="213"/>
      <c r="I618" s="213"/>
      <c r="J618" s="213"/>
      <c r="K618" s="213"/>
      <c r="L618" s="213"/>
      <c r="M618" s="213"/>
      <c r="N618" s="213"/>
      <c r="O618" s="213"/>
      <c r="P618" s="213"/>
      <c r="Q618" s="213"/>
      <c r="R618" s="213"/>
      <c r="S618" s="213"/>
      <c r="T618" s="213"/>
      <c r="U618" s="213"/>
    </row>
    <row r="619" spans="3:21" x14ac:dyDescent="0.25">
      <c r="C619" s="213"/>
      <c r="D619" s="213"/>
      <c r="E619" s="213"/>
      <c r="F619" s="213"/>
      <c r="G619" s="213"/>
      <c r="H619" s="213"/>
      <c r="I619" s="213"/>
      <c r="J619" s="213"/>
      <c r="K619" s="213"/>
      <c r="L619" s="213"/>
      <c r="M619" s="213"/>
      <c r="N619" s="213"/>
      <c r="O619" s="213"/>
      <c r="P619" s="213"/>
      <c r="Q619" s="213"/>
      <c r="R619" s="213"/>
      <c r="S619" s="213"/>
      <c r="T619" s="213"/>
      <c r="U619" s="213"/>
    </row>
    <row r="620" spans="3:21" x14ac:dyDescent="0.25">
      <c r="C620" s="213"/>
      <c r="D620" s="213"/>
      <c r="E620" s="213"/>
      <c r="F620" s="213"/>
      <c r="G620" s="213"/>
      <c r="H620" s="213"/>
      <c r="I620" s="213"/>
      <c r="J620" s="213"/>
      <c r="K620" s="213"/>
      <c r="L620" s="213"/>
      <c r="M620" s="213"/>
      <c r="N620" s="213"/>
      <c r="O620" s="213"/>
      <c r="P620" s="213"/>
      <c r="Q620" s="213"/>
      <c r="R620" s="213"/>
      <c r="S620" s="213"/>
      <c r="T620" s="213"/>
      <c r="U620" s="213"/>
    </row>
    <row r="621" spans="3:21" x14ac:dyDescent="0.25">
      <c r="C621" s="213"/>
      <c r="D621" s="213"/>
      <c r="E621" s="213"/>
      <c r="F621" s="213"/>
      <c r="G621" s="213"/>
      <c r="H621" s="213"/>
      <c r="I621" s="213"/>
      <c r="J621" s="213"/>
      <c r="K621" s="213"/>
      <c r="L621" s="213"/>
      <c r="M621" s="213"/>
      <c r="N621" s="213"/>
      <c r="O621" s="213"/>
      <c r="P621" s="213"/>
      <c r="Q621" s="213"/>
      <c r="R621" s="213"/>
      <c r="S621" s="213"/>
      <c r="T621" s="213"/>
      <c r="U621" s="213"/>
    </row>
    <row r="622" spans="3:21" x14ac:dyDescent="0.25">
      <c r="C622" s="213"/>
      <c r="D622" s="213"/>
      <c r="E622" s="213"/>
      <c r="F622" s="213"/>
      <c r="G622" s="213"/>
      <c r="H622" s="213"/>
      <c r="I622" s="213"/>
      <c r="J622" s="213"/>
      <c r="K622" s="213"/>
      <c r="L622" s="213"/>
      <c r="M622" s="213"/>
      <c r="N622" s="213"/>
      <c r="O622" s="213"/>
      <c r="P622" s="213"/>
      <c r="Q622" s="213"/>
      <c r="R622" s="213"/>
      <c r="S622" s="213"/>
      <c r="T622" s="213"/>
      <c r="U622" s="213"/>
    </row>
    <row r="623" spans="3:21" x14ac:dyDescent="0.25">
      <c r="C623" s="213"/>
      <c r="D623" s="213"/>
      <c r="E623" s="213"/>
      <c r="F623" s="213"/>
      <c r="G623" s="213"/>
      <c r="H623" s="213"/>
      <c r="I623" s="213"/>
      <c r="J623" s="213"/>
      <c r="K623" s="213"/>
      <c r="L623" s="213"/>
      <c r="M623" s="213"/>
      <c r="N623" s="213"/>
      <c r="O623" s="213"/>
      <c r="P623" s="213"/>
      <c r="Q623" s="213"/>
      <c r="R623" s="213"/>
      <c r="S623" s="213"/>
      <c r="T623" s="213"/>
      <c r="U623" s="213"/>
    </row>
    <row r="624" spans="3:21" x14ac:dyDescent="0.25">
      <c r="C624" s="213"/>
      <c r="D624" s="213"/>
      <c r="E624" s="213"/>
      <c r="F624" s="213"/>
      <c r="G624" s="213"/>
      <c r="H624" s="213"/>
      <c r="I624" s="213"/>
      <c r="J624" s="213"/>
      <c r="K624" s="213"/>
      <c r="L624" s="213"/>
      <c r="M624" s="213"/>
      <c r="N624" s="213"/>
      <c r="O624" s="213"/>
      <c r="P624" s="213"/>
      <c r="Q624" s="213"/>
      <c r="R624" s="213"/>
      <c r="S624" s="213"/>
      <c r="T624" s="213"/>
      <c r="U624" s="213"/>
    </row>
    <row r="625" spans="3:21" x14ac:dyDescent="0.25">
      <c r="C625" s="213"/>
      <c r="D625" s="213"/>
      <c r="E625" s="213"/>
      <c r="F625" s="213"/>
      <c r="G625" s="213"/>
      <c r="H625" s="213"/>
      <c r="I625" s="213"/>
      <c r="J625" s="213"/>
      <c r="K625" s="213"/>
      <c r="L625" s="213"/>
      <c r="M625" s="213"/>
      <c r="N625" s="213"/>
      <c r="O625" s="213"/>
      <c r="P625" s="213"/>
      <c r="Q625" s="213"/>
      <c r="R625" s="213"/>
      <c r="S625" s="213"/>
      <c r="T625" s="213"/>
      <c r="U625" s="213"/>
    </row>
    <row r="626" spans="3:21" x14ac:dyDescent="0.25">
      <c r="C626" s="213"/>
      <c r="D626" s="213"/>
      <c r="E626" s="213"/>
      <c r="F626" s="213"/>
      <c r="G626" s="213"/>
      <c r="H626" s="213"/>
      <c r="I626" s="213"/>
      <c r="J626" s="213"/>
      <c r="K626" s="213"/>
      <c r="L626" s="213"/>
      <c r="M626" s="213"/>
      <c r="N626" s="213"/>
      <c r="O626" s="213"/>
      <c r="P626" s="213"/>
      <c r="Q626" s="213"/>
      <c r="R626" s="213"/>
      <c r="S626" s="213"/>
      <c r="T626" s="213"/>
      <c r="U626" s="213"/>
    </row>
    <row r="627" spans="3:21" x14ac:dyDescent="0.25">
      <c r="C627" s="213"/>
      <c r="D627" s="213"/>
      <c r="E627" s="213"/>
      <c r="F627" s="213"/>
      <c r="G627" s="213"/>
      <c r="H627" s="213"/>
      <c r="I627" s="213"/>
      <c r="J627" s="213"/>
      <c r="K627" s="213"/>
      <c r="L627" s="213"/>
      <c r="M627" s="213"/>
      <c r="N627" s="213"/>
      <c r="O627" s="213"/>
      <c r="P627" s="213"/>
      <c r="Q627" s="213"/>
      <c r="R627" s="213"/>
      <c r="S627" s="213"/>
      <c r="T627" s="213"/>
      <c r="U627" s="213"/>
    </row>
    <row r="628" spans="3:21" x14ac:dyDescent="0.25">
      <c r="C628" s="213"/>
      <c r="D628" s="213"/>
      <c r="E628" s="213"/>
      <c r="F628" s="213"/>
      <c r="G628" s="213"/>
      <c r="H628" s="213"/>
      <c r="I628" s="213"/>
      <c r="J628" s="213"/>
      <c r="K628" s="213"/>
      <c r="L628" s="213"/>
      <c r="M628" s="213"/>
      <c r="N628" s="213"/>
      <c r="O628" s="213"/>
      <c r="P628" s="213"/>
      <c r="Q628" s="213"/>
      <c r="R628" s="213"/>
      <c r="S628" s="213"/>
      <c r="T628" s="213"/>
      <c r="U628" s="213"/>
    </row>
    <row r="629" spans="3:21" x14ac:dyDescent="0.25">
      <c r="C629" s="213"/>
      <c r="D629" s="213"/>
      <c r="E629" s="213"/>
      <c r="F629" s="213"/>
      <c r="G629" s="213"/>
      <c r="H629" s="213"/>
      <c r="I629" s="213"/>
      <c r="J629" s="213"/>
      <c r="K629" s="213"/>
      <c r="L629" s="213"/>
      <c r="M629" s="213"/>
      <c r="N629" s="213"/>
      <c r="O629" s="213"/>
      <c r="P629" s="213"/>
      <c r="Q629" s="213"/>
      <c r="R629" s="213"/>
      <c r="S629" s="213"/>
      <c r="T629" s="213"/>
      <c r="U629" s="213"/>
    </row>
    <row r="630" spans="3:21" x14ac:dyDescent="0.25">
      <c r="C630" s="213"/>
      <c r="D630" s="213"/>
      <c r="E630" s="213"/>
      <c r="F630" s="213"/>
      <c r="G630" s="213"/>
      <c r="H630" s="213"/>
      <c r="I630" s="213"/>
      <c r="J630" s="213"/>
      <c r="K630" s="213"/>
      <c r="L630" s="213"/>
      <c r="M630" s="213"/>
      <c r="N630" s="213"/>
      <c r="O630" s="213"/>
      <c r="P630" s="213"/>
      <c r="Q630" s="213"/>
      <c r="R630" s="213"/>
      <c r="S630" s="213"/>
      <c r="T630" s="213"/>
      <c r="U630" s="213"/>
    </row>
    <row r="631" spans="3:21" x14ac:dyDescent="0.25">
      <c r="C631" s="213"/>
      <c r="D631" s="213"/>
      <c r="E631" s="213"/>
      <c r="F631" s="213"/>
      <c r="G631" s="213"/>
      <c r="H631" s="213"/>
      <c r="I631" s="213"/>
      <c r="J631" s="213"/>
      <c r="K631" s="213"/>
      <c r="L631" s="213"/>
      <c r="M631" s="213"/>
      <c r="N631" s="213"/>
      <c r="O631" s="213"/>
      <c r="P631" s="213"/>
      <c r="Q631" s="213"/>
      <c r="R631" s="213"/>
      <c r="S631" s="213"/>
      <c r="T631" s="213"/>
      <c r="U631" s="213"/>
    </row>
    <row r="632" spans="3:21" x14ac:dyDescent="0.25">
      <c r="C632" s="213"/>
      <c r="D632" s="213"/>
      <c r="E632" s="213"/>
      <c r="F632" s="213"/>
      <c r="G632" s="213"/>
      <c r="H632" s="213"/>
      <c r="I632" s="213"/>
      <c r="J632" s="213"/>
      <c r="K632" s="213"/>
      <c r="L632" s="213"/>
      <c r="M632" s="213"/>
      <c r="N632" s="213"/>
      <c r="O632" s="213"/>
      <c r="P632" s="213"/>
      <c r="Q632" s="213"/>
      <c r="R632" s="213"/>
      <c r="S632" s="213"/>
      <c r="T632" s="213"/>
      <c r="U632" s="213"/>
    </row>
    <row r="633" spans="3:21" x14ac:dyDescent="0.25">
      <c r="C633" s="213"/>
      <c r="D633" s="213"/>
      <c r="E633" s="213"/>
      <c r="F633" s="213"/>
      <c r="G633" s="213"/>
      <c r="H633" s="213"/>
      <c r="I633" s="213"/>
      <c r="J633" s="213"/>
      <c r="K633" s="213"/>
      <c r="L633" s="213"/>
      <c r="M633" s="213"/>
      <c r="N633" s="213"/>
      <c r="O633" s="213"/>
      <c r="P633" s="213"/>
      <c r="Q633" s="213"/>
      <c r="R633" s="213"/>
      <c r="S633" s="213"/>
      <c r="T633" s="213"/>
      <c r="U633" s="213"/>
    </row>
    <row r="634" spans="3:21" x14ac:dyDescent="0.25">
      <c r="C634" s="213"/>
      <c r="D634" s="213"/>
      <c r="E634" s="213"/>
      <c r="F634" s="213"/>
      <c r="G634" s="213"/>
      <c r="H634" s="213"/>
      <c r="I634" s="213"/>
      <c r="J634" s="213"/>
      <c r="K634" s="213"/>
      <c r="L634" s="213"/>
      <c r="M634" s="213"/>
      <c r="N634" s="213"/>
      <c r="O634" s="213"/>
      <c r="P634" s="213"/>
      <c r="Q634" s="213"/>
      <c r="R634" s="213"/>
      <c r="S634" s="213"/>
      <c r="T634" s="213"/>
      <c r="U634" s="213"/>
    </row>
    <row r="635" spans="3:21" x14ac:dyDescent="0.25">
      <c r="C635" s="213"/>
      <c r="D635" s="213"/>
      <c r="E635" s="213"/>
      <c r="F635" s="213"/>
      <c r="G635" s="213"/>
      <c r="H635" s="213"/>
      <c r="I635" s="213"/>
      <c r="J635" s="213"/>
      <c r="K635" s="213"/>
      <c r="L635" s="213"/>
      <c r="M635" s="213"/>
      <c r="N635" s="213"/>
      <c r="O635" s="213"/>
      <c r="P635" s="213"/>
      <c r="Q635" s="213"/>
      <c r="R635" s="213"/>
      <c r="S635" s="213"/>
      <c r="T635" s="213"/>
      <c r="U635" s="213"/>
    </row>
    <row r="636" spans="3:21" x14ac:dyDescent="0.25">
      <c r="C636" s="213"/>
      <c r="D636" s="213"/>
      <c r="E636" s="213"/>
      <c r="F636" s="213"/>
      <c r="G636" s="213"/>
      <c r="H636" s="213"/>
      <c r="I636" s="213"/>
      <c r="J636" s="213"/>
      <c r="K636" s="213"/>
      <c r="L636" s="213"/>
      <c r="M636" s="213"/>
      <c r="N636" s="213"/>
      <c r="O636" s="213"/>
      <c r="P636" s="213"/>
      <c r="Q636" s="213"/>
      <c r="R636" s="213"/>
      <c r="S636" s="213"/>
      <c r="T636" s="213"/>
      <c r="U636" s="213"/>
    </row>
    <row r="637" spans="3:21" x14ac:dyDescent="0.25">
      <c r="C637" s="213"/>
      <c r="D637" s="213"/>
      <c r="E637" s="213"/>
      <c r="F637" s="213"/>
      <c r="G637" s="213"/>
      <c r="H637" s="213"/>
      <c r="I637" s="213"/>
      <c r="J637" s="213"/>
      <c r="K637" s="213"/>
      <c r="L637" s="213"/>
      <c r="M637" s="213"/>
      <c r="N637" s="213"/>
      <c r="O637" s="213"/>
      <c r="P637" s="213"/>
      <c r="Q637" s="213"/>
      <c r="R637" s="213"/>
      <c r="S637" s="213"/>
      <c r="T637" s="213"/>
      <c r="U637" s="213"/>
    </row>
    <row r="638" spans="3:21" x14ac:dyDescent="0.25">
      <c r="C638" s="213"/>
      <c r="D638" s="213"/>
      <c r="E638" s="213"/>
      <c r="F638" s="213"/>
      <c r="G638" s="213"/>
      <c r="H638" s="213"/>
      <c r="I638" s="213"/>
      <c r="J638" s="213"/>
      <c r="K638" s="213"/>
      <c r="L638" s="213"/>
      <c r="M638" s="213"/>
      <c r="N638" s="213"/>
      <c r="O638" s="213"/>
      <c r="P638" s="213"/>
      <c r="Q638" s="213"/>
      <c r="R638" s="213"/>
      <c r="S638" s="213"/>
      <c r="T638" s="213"/>
      <c r="U638" s="213"/>
    </row>
    <row r="639" spans="3:21" x14ac:dyDescent="0.25">
      <c r="C639" s="213"/>
      <c r="D639" s="213"/>
      <c r="E639" s="213"/>
      <c r="F639" s="213"/>
      <c r="G639" s="213"/>
      <c r="H639" s="213"/>
      <c r="I639" s="213"/>
      <c r="J639" s="213"/>
      <c r="K639" s="213"/>
      <c r="L639" s="213"/>
      <c r="M639" s="213"/>
      <c r="N639" s="213"/>
      <c r="O639" s="213"/>
      <c r="P639" s="213"/>
      <c r="Q639" s="213"/>
      <c r="R639" s="213"/>
      <c r="S639" s="213"/>
      <c r="T639" s="213"/>
      <c r="U639" s="213"/>
    </row>
    <row r="640" spans="3:21" x14ac:dyDescent="0.25">
      <c r="C640" s="213"/>
      <c r="D640" s="213"/>
      <c r="E640" s="213"/>
      <c r="F640" s="213"/>
      <c r="G640" s="213"/>
      <c r="H640" s="213"/>
      <c r="I640" s="213"/>
      <c r="J640" s="213"/>
      <c r="K640" s="213"/>
      <c r="L640" s="213"/>
      <c r="M640" s="213"/>
      <c r="N640" s="213"/>
      <c r="O640" s="213"/>
      <c r="P640" s="213"/>
      <c r="Q640" s="213"/>
      <c r="R640" s="213"/>
      <c r="S640" s="213"/>
      <c r="T640" s="213"/>
      <c r="U640" s="213"/>
    </row>
    <row r="641" spans="3:21" x14ac:dyDescent="0.25">
      <c r="C641" s="213"/>
      <c r="D641" s="213"/>
      <c r="E641" s="213"/>
      <c r="F641" s="213"/>
      <c r="G641" s="213"/>
      <c r="H641" s="213"/>
      <c r="I641" s="213"/>
      <c r="J641" s="213"/>
      <c r="K641" s="213"/>
      <c r="L641" s="213"/>
      <c r="M641" s="213"/>
      <c r="N641" s="213"/>
      <c r="O641" s="213"/>
      <c r="P641" s="213"/>
      <c r="Q641" s="213"/>
      <c r="R641" s="213"/>
      <c r="S641" s="213"/>
      <c r="T641" s="213"/>
      <c r="U641" s="213"/>
    </row>
    <row r="642" spans="3:21" x14ac:dyDescent="0.25">
      <c r="C642" s="213"/>
      <c r="D642" s="213"/>
      <c r="E642" s="213"/>
      <c r="F642" s="213"/>
      <c r="G642" s="213"/>
      <c r="H642" s="213"/>
      <c r="I642" s="213"/>
      <c r="J642" s="213"/>
      <c r="K642" s="213"/>
      <c r="L642" s="213"/>
      <c r="M642" s="213"/>
      <c r="N642" s="213"/>
      <c r="O642" s="213"/>
      <c r="P642" s="213"/>
      <c r="Q642" s="213"/>
      <c r="R642" s="213"/>
      <c r="S642" s="213"/>
      <c r="T642" s="213"/>
      <c r="U642" s="213"/>
    </row>
    <row r="643" spans="3:21" x14ac:dyDescent="0.25">
      <c r="C643" s="213"/>
      <c r="D643" s="213"/>
      <c r="E643" s="213"/>
      <c r="F643" s="213"/>
      <c r="G643" s="213"/>
      <c r="H643" s="213"/>
      <c r="I643" s="213"/>
      <c r="J643" s="213"/>
      <c r="K643" s="213"/>
      <c r="L643" s="213"/>
      <c r="M643" s="213"/>
      <c r="N643" s="213"/>
      <c r="O643" s="213"/>
      <c r="P643" s="213"/>
      <c r="Q643" s="213"/>
      <c r="R643" s="213"/>
      <c r="S643" s="213"/>
      <c r="T643" s="213"/>
      <c r="U643" s="213"/>
    </row>
    <row r="644" spans="3:21" x14ac:dyDescent="0.25">
      <c r="C644" s="213"/>
      <c r="D644" s="213"/>
      <c r="E644" s="213"/>
      <c r="F644" s="213"/>
      <c r="G644" s="213"/>
      <c r="H644" s="213"/>
      <c r="I644" s="213"/>
      <c r="J644" s="213"/>
      <c r="K644" s="213"/>
      <c r="L644" s="213"/>
      <c r="M644" s="213"/>
      <c r="N644" s="213"/>
      <c r="O644" s="213"/>
      <c r="P644" s="213"/>
      <c r="Q644" s="213"/>
      <c r="R644" s="213"/>
      <c r="S644" s="213"/>
      <c r="T644" s="213"/>
      <c r="U644" s="213"/>
    </row>
    <row r="645" spans="3:21" x14ac:dyDescent="0.25">
      <c r="C645" s="213"/>
      <c r="D645" s="213"/>
      <c r="E645" s="213"/>
      <c r="F645" s="213"/>
      <c r="G645" s="213"/>
      <c r="H645" s="213"/>
      <c r="I645" s="213"/>
      <c r="J645" s="213"/>
      <c r="K645" s="213"/>
      <c r="L645" s="213"/>
      <c r="M645" s="213"/>
      <c r="N645" s="213"/>
      <c r="O645" s="213"/>
      <c r="P645" s="213"/>
      <c r="Q645" s="213"/>
      <c r="R645" s="213"/>
      <c r="S645" s="213"/>
      <c r="T645" s="213"/>
      <c r="U645" s="213"/>
    </row>
    <row r="646" spans="3:21" x14ac:dyDescent="0.25">
      <c r="C646" s="213"/>
      <c r="D646" s="213"/>
      <c r="E646" s="213"/>
      <c r="F646" s="213"/>
      <c r="G646" s="213"/>
      <c r="H646" s="213"/>
      <c r="I646" s="213"/>
      <c r="J646" s="213"/>
      <c r="K646" s="213"/>
      <c r="L646" s="213"/>
      <c r="M646" s="213"/>
      <c r="N646" s="213"/>
      <c r="O646" s="213"/>
      <c r="P646" s="213"/>
      <c r="Q646" s="213"/>
      <c r="R646" s="213"/>
      <c r="S646" s="213"/>
      <c r="T646" s="213"/>
      <c r="U646" s="213"/>
    </row>
    <row r="647" spans="3:21" x14ac:dyDescent="0.25">
      <c r="C647" s="213"/>
      <c r="D647" s="213"/>
      <c r="E647" s="213"/>
      <c r="F647" s="213"/>
      <c r="G647" s="213"/>
      <c r="H647" s="213"/>
      <c r="I647" s="213"/>
      <c r="J647" s="213"/>
      <c r="K647" s="213"/>
      <c r="L647" s="213"/>
      <c r="M647" s="213"/>
      <c r="N647" s="213"/>
      <c r="O647" s="213"/>
      <c r="P647" s="213"/>
      <c r="Q647" s="213"/>
      <c r="R647" s="213"/>
      <c r="S647" s="213"/>
      <c r="T647" s="213"/>
      <c r="U647" s="213"/>
    </row>
    <row r="648" spans="3:21" x14ac:dyDescent="0.25">
      <c r="C648" s="213"/>
      <c r="D648" s="213"/>
      <c r="E648" s="213"/>
      <c r="F648" s="213"/>
      <c r="G648" s="213"/>
      <c r="H648" s="213"/>
      <c r="I648" s="213"/>
      <c r="J648" s="213"/>
      <c r="K648" s="213"/>
      <c r="L648" s="213"/>
      <c r="M648" s="213"/>
      <c r="N648" s="213"/>
      <c r="O648" s="213"/>
      <c r="P648" s="213"/>
      <c r="Q648" s="213"/>
      <c r="R648" s="213"/>
      <c r="S648" s="213"/>
      <c r="T648" s="213"/>
      <c r="U648" s="213"/>
    </row>
    <row r="649" spans="3:21" x14ac:dyDescent="0.25">
      <c r="C649" s="213"/>
      <c r="D649" s="213"/>
      <c r="E649" s="213"/>
      <c r="F649" s="213"/>
      <c r="G649" s="213"/>
      <c r="H649" s="213"/>
      <c r="I649" s="213"/>
      <c r="J649" s="213"/>
      <c r="K649" s="213"/>
      <c r="L649" s="213"/>
      <c r="M649" s="213"/>
      <c r="N649" s="213"/>
      <c r="O649" s="213"/>
      <c r="P649" s="213"/>
      <c r="Q649" s="213"/>
      <c r="R649" s="213"/>
      <c r="S649" s="213"/>
      <c r="T649" s="213"/>
      <c r="U649" s="213"/>
    </row>
    <row r="650" spans="3:21" x14ac:dyDescent="0.25">
      <c r="C650" s="213"/>
      <c r="D650" s="213"/>
      <c r="E650" s="213"/>
      <c r="F650" s="213"/>
      <c r="G650" s="213"/>
      <c r="H650" s="213"/>
      <c r="I650" s="213"/>
      <c r="J650" s="213"/>
      <c r="K650" s="213"/>
      <c r="L650" s="213"/>
      <c r="M650" s="213"/>
      <c r="N650" s="213"/>
      <c r="O650" s="213"/>
      <c r="P650" s="213"/>
      <c r="Q650" s="213"/>
      <c r="R650" s="213"/>
      <c r="S650" s="213"/>
      <c r="T650" s="213"/>
      <c r="U650" s="213"/>
    </row>
    <row r="651" spans="3:21" x14ac:dyDescent="0.25">
      <c r="C651" s="213"/>
      <c r="D651" s="213"/>
      <c r="E651" s="213"/>
      <c r="F651" s="213"/>
      <c r="G651" s="213"/>
      <c r="H651" s="213"/>
      <c r="I651" s="213"/>
      <c r="J651" s="213"/>
      <c r="K651" s="213"/>
      <c r="L651" s="213"/>
      <c r="M651" s="213"/>
      <c r="N651" s="213"/>
      <c r="O651" s="213"/>
      <c r="P651" s="213"/>
      <c r="Q651" s="213"/>
      <c r="R651" s="213"/>
      <c r="S651" s="213"/>
      <c r="T651" s="213"/>
      <c r="U651" s="213"/>
    </row>
    <row r="652" spans="3:21" x14ac:dyDescent="0.25">
      <c r="C652" s="213"/>
      <c r="D652" s="213"/>
      <c r="E652" s="213"/>
      <c r="F652" s="213"/>
      <c r="G652" s="213"/>
      <c r="H652" s="213"/>
      <c r="I652" s="213"/>
      <c r="J652" s="213"/>
      <c r="K652" s="213"/>
      <c r="L652" s="213"/>
      <c r="M652" s="213"/>
      <c r="N652" s="213"/>
      <c r="O652" s="213"/>
      <c r="P652" s="213"/>
      <c r="Q652" s="213"/>
      <c r="R652" s="213"/>
      <c r="S652" s="213"/>
      <c r="T652" s="213"/>
      <c r="U652" s="213"/>
    </row>
    <row r="653" spans="3:21" x14ac:dyDescent="0.25">
      <c r="C653" s="213"/>
      <c r="D653" s="213"/>
      <c r="E653" s="213"/>
      <c r="F653" s="213"/>
      <c r="G653" s="213"/>
      <c r="H653" s="213"/>
      <c r="I653" s="213"/>
      <c r="J653" s="213"/>
      <c r="K653" s="213"/>
      <c r="L653" s="213"/>
      <c r="M653" s="213"/>
      <c r="N653" s="213"/>
      <c r="O653" s="213"/>
      <c r="P653" s="213"/>
      <c r="Q653" s="213"/>
      <c r="R653" s="213"/>
      <c r="S653" s="213"/>
      <c r="T653" s="213"/>
      <c r="U653" s="213"/>
    </row>
    <row r="654" spans="3:21" x14ac:dyDescent="0.25">
      <c r="C654" s="213"/>
      <c r="D654" s="213"/>
      <c r="E654" s="213"/>
      <c r="F654" s="213"/>
      <c r="G654" s="213"/>
      <c r="H654" s="213"/>
      <c r="I654" s="213"/>
      <c r="J654" s="213"/>
      <c r="K654" s="213"/>
      <c r="L654" s="213"/>
      <c r="M654" s="213"/>
      <c r="N654" s="213"/>
      <c r="O654" s="213"/>
      <c r="P654" s="213"/>
      <c r="Q654" s="213"/>
      <c r="R654" s="213"/>
      <c r="S654" s="213"/>
      <c r="T654" s="213"/>
      <c r="U654" s="213"/>
    </row>
    <row r="655" spans="3:21" x14ac:dyDescent="0.25">
      <c r="C655" s="213"/>
      <c r="D655" s="213"/>
      <c r="E655" s="213"/>
      <c r="F655" s="213"/>
      <c r="G655" s="213"/>
      <c r="H655" s="213"/>
      <c r="I655" s="213"/>
      <c r="J655" s="213"/>
      <c r="K655" s="213"/>
      <c r="L655" s="213"/>
      <c r="M655" s="213"/>
      <c r="N655" s="213"/>
      <c r="O655" s="213"/>
      <c r="P655" s="213"/>
      <c r="Q655" s="213"/>
      <c r="R655" s="213"/>
      <c r="S655" s="213"/>
      <c r="T655" s="213"/>
      <c r="U655" s="213"/>
    </row>
    <row r="656" spans="3:21" x14ac:dyDescent="0.25">
      <c r="C656" s="213"/>
      <c r="D656" s="213"/>
      <c r="E656" s="213"/>
      <c r="F656" s="213"/>
      <c r="G656" s="213"/>
      <c r="H656" s="213"/>
      <c r="I656" s="213"/>
      <c r="J656" s="213"/>
      <c r="K656" s="213"/>
      <c r="L656" s="213"/>
      <c r="M656" s="213"/>
      <c r="N656" s="213"/>
      <c r="O656" s="213"/>
      <c r="P656" s="213"/>
      <c r="Q656" s="213"/>
      <c r="R656" s="213"/>
      <c r="S656" s="213"/>
      <c r="T656" s="213"/>
      <c r="U656" s="213"/>
    </row>
    <row r="657" spans="3:21" x14ac:dyDescent="0.25">
      <c r="C657" s="213"/>
      <c r="D657" s="213"/>
      <c r="E657" s="213"/>
      <c r="F657" s="213"/>
      <c r="G657" s="213"/>
      <c r="H657" s="213"/>
      <c r="I657" s="213"/>
      <c r="J657" s="213"/>
      <c r="K657" s="213"/>
      <c r="L657" s="213"/>
      <c r="M657" s="213"/>
      <c r="N657" s="213"/>
      <c r="O657" s="213"/>
      <c r="P657" s="213"/>
      <c r="Q657" s="213"/>
      <c r="R657" s="213"/>
      <c r="S657" s="213"/>
      <c r="T657" s="213"/>
      <c r="U657" s="213"/>
    </row>
    <row r="658" spans="3:21" x14ac:dyDescent="0.25">
      <c r="C658" s="213"/>
      <c r="D658" s="213"/>
      <c r="E658" s="213"/>
      <c r="F658" s="213"/>
      <c r="G658" s="213"/>
      <c r="H658" s="213"/>
      <c r="I658" s="213"/>
      <c r="J658" s="213"/>
      <c r="K658" s="213"/>
      <c r="L658" s="213"/>
      <c r="M658" s="213"/>
      <c r="N658" s="213"/>
      <c r="O658" s="213"/>
      <c r="P658" s="213"/>
      <c r="Q658" s="213"/>
      <c r="R658" s="213"/>
      <c r="S658" s="213"/>
      <c r="T658" s="213"/>
      <c r="U658" s="213"/>
    </row>
    <row r="659" spans="3:21" x14ac:dyDescent="0.25">
      <c r="C659" s="213"/>
      <c r="D659" s="213"/>
      <c r="E659" s="213"/>
      <c r="F659" s="213"/>
      <c r="G659" s="213"/>
      <c r="H659" s="213"/>
      <c r="I659" s="213"/>
      <c r="J659" s="213"/>
      <c r="K659" s="213"/>
      <c r="L659" s="213"/>
      <c r="M659" s="213"/>
      <c r="N659" s="213"/>
      <c r="O659" s="213"/>
      <c r="P659" s="213"/>
      <c r="Q659" s="213"/>
      <c r="R659" s="213"/>
      <c r="S659" s="213"/>
      <c r="T659" s="213"/>
      <c r="U659" s="213"/>
    </row>
    <row r="660" spans="3:21" x14ac:dyDescent="0.25">
      <c r="C660" s="213"/>
      <c r="D660" s="213"/>
      <c r="E660" s="213"/>
      <c r="F660" s="213"/>
      <c r="G660" s="213"/>
      <c r="H660" s="213"/>
      <c r="I660" s="213"/>
      <c r="J660" s="213"/>
      <c r="K660" s="213"/>
      <c r="L660" s="213"/>
      <c r="M660" s="213"/>
      <c r="N660" s="213"/>
      <c r="O660" s="213"/>
      <c r="P660" s="213"/>
      <c r="Q660" s="213"/>
      <c r="R660" s="213"/>
      <c r="S660" s="213"/>
      <c r="T660" s="213"/>
      <c r="U660" s="213"/>
    </row>
    <row r="661" spans="3:21" x14ac:dyDescent="0.25">
      <c r="C661" s="213"/>
      <c r="D661" s="213"/>
      <c r="E661" s="213"/>
      <c r="F661" s="213"/>
      <c r="G661" s="213"/>
      <c r="H661" s="213"/>
      <c r="I661" s="213"/>
      <c r="J661" s="213"/>
      <c r="K661" s="213"/>
      <c r="L661" s="213"/>
      <c r="M661" s="213"/>
      <c r="N661" s="213"/>
      <c r="O661" s="213"/>
      <c r="P661" s="213"/>
      <c r="Q661" s="213"/>
      <c r="R661" s="213"/>
      <c r="S661" s="213"/>
      <c r="T661" s="213"/>
      <c r="U661" s="213"/>
    </row>
    <row r="662" spans="3:21" x14ac:dyDescent="0.25">
      <c r="C662" s="213"/>
      <c r="D662" s="213"/>
      <c r="E662" s="213"/>
      <c r="F662" s="213"/>
      <c r="G662" s="213"/>
      <c r="H662" s="213"/>
      <c r="I662" s="213"/>
      <c r="J662" s="213"/>
      <c r="K662" s="213"/>
      <c r="L662" s="213"/>
      <c r="M662" s="213"/>
      <c r="N662" s="213"/>
      <c r="O662" s="213"/>
      <c r="P662" s="213"/>
      <c r="Q662" s="213"/>
      <c r="R662" s="213"/>
      <c r="S662" s="213"/>
      <c r="T662" s="213"/>
      <c r="U662" s="213"/>
    </row>
    <row r="663" spans="3:21" x14ac:dyDescent="0.25">
      <c r="C663" s="213"/>
      <c r="D663" s="213"/>
      <c r="E663" s="213"/>
      <c r="F663" s="213"/>
      <c r="G663" s="213"/>
      <c r="H663" s="213"/>
      <c r="I663" s="213"/>
      <c r="J663" s="213"/>
      <c r="K663" s="213"/>
      <c r="L663" s="213"/>
      <c r="M663" s="213"/>
      <c r="N663" s="213"/>
      <c r="O663" s="213"/>
      <c r="P663" s="213"/>
      <c r="Q663" s="213"/>
      <c r="R663" s="213"/>
      <c r="S663" s="213"/>
      <c r="T663" s="213"/>
      <c r="U663" s="213"/>
    </row>
    <row r="664" spans="3:21" x14ac:dyDescent="0.25">
      <c r="C664" s="213"/>
      <c r="D664" s="213"/>
      <c r="E664" s="213"/>
      <c r="F664" s="213"/>
      <c r="G664" s="213"/>
      <c r="H664" s="213"/>
      <c r="I664" s="213"/>
      <c r="J664" s="213"/>
      <c r="K664" s="213"/>
      <c r="L664" s="213"/>
      <c r="M664" s="213"/>
      <c r="N664" s="213"/>
      <c r="O664" s="213"/>
      <c r="P664" s="213"/>
      <c r="Q664" s="213"/>
      <c r="R664" s="213"/>
      <c r="S664" s="213"/>
      <c r="T664" s="213"/>
      <c r="U664" s="213"/>
    </row>
    <row r="665" spans="3:21" x14ac:dyDescent="0.25">
      <c r="C665" s="213"/>
      <c r="D665" s="213"/>
      <c r="E665" s="213"/>
      <c r="F665" s="213"/>
      <c r="G665" s="213"/>
      <c r="H665" s="213"/>
      <c r="I665" s="213"/>
      <c r="J665" s="213"/>
      <c r="K665" s="213"/>
      <c r="L665" s="213"/>
      <c r="M665" s="213"/>
      <c r="N665" s="213"/>
      <c r="O665" s="213"/>
      <c r="P665" s="213"/>
      <c r="Q665" s="213"/>
      <c r="R665" s="213"/>
      <c r="S665" s="213"/>
      <c r="T665" s="213"/>
      <c r="U665" s="213"/>
    </row>
    <row r="666" spans="3:21" x14ac:dyDescent="0.25">
      <c r="C666" s="213"/>
      <c r="D666" s="213"/>
      <c r="E666" s="213"/>
      <c r="F666" s="213"/>
      <c r="G666" s="213"/>
      <c r="H666" s="213"/>
      <c r="I666" s="213"/>
      <c r="J666" s="213"/>
      <c r="K666" s="213"/>
      <c r="L666" s="213"/>
      <c r="M666" s="213"/>
      <c r="N666" s="213"/>
      <c r="O666" s="213"/>
      <c r="P666" s="213"/>
      <c r="Q666" s="213"/>
      <c r="R666" s="213"/>
      <c r="S666" s="213"/>
      <c r="T666" s="213"/>
      <c r="U666" s="213"/>
    </row>
    <row r="667" spans="3:21" x14ac:dyDescent="0.25">
      <c r="C667" s="213"/>
      <c r="D667" s="213"/>
      <c r="E667" s="213"/>
      <c r="F667" s="213"/>
      <c r="G667" s="213"/>
      <c r="H667" s="213"/>
      <c r="I667" s="213"/>
      <c r="J667" s="213"/>
      <c r="K667" s="213"/>
      <c r="L667" s="213"/>
      <c r="M667" s="213"/>
      <c r="N667" s="213"/>
      <c r="O667" s="213"/>
      <c r="P667" s="213"/>
      <c r="Q667" s="213"/>
      <c r="R667" s="213"/>
      <c r="S667" s="213"/>
      <c r="T667" s="213"/>
      <c r="U667" s="213"/>
    </row>
    <row r="668" spans="3:21" x14ac:dyDescent="0.25">
      <c r="C668" s="213"/>
      <c r="D668" s="213"/>
      <c r="E668" s="213"/>
      <c r="F668" s="213"/>
      <c r="G668" s="213"/>
      <c r="H668" s="213"/>
      <c r="I668" s="213"/>
      <c r="J668" s="213"/>
      <c r="K668" s="213"/>
      <c r="L668" s="213"/>
      <c r="M668" s="213"/>
      <c r="N668" s="213"/>
      <c r="O668" s="213"/>
      <c r="P668" s="213"/>
      <c r="Q668" s="213"/>
      <c r="R668" s="213"/>
      <c r="S668" s="213"/>
      <c r="T668" s="213"/>
      <c r="U668" s="213"/>
    </row>
    <row r="669" spans="3:21" x14ac:dyDescent="0.25">
      <c r="C669" s="213"/>
      <c r="D669" s="213"/>
      <c r="E669" s="213"/>
      <c r="F669" s="213"/>
      <c r="G669" s="213"/>
      <c r="H669" s="213"/>
      <c r="I669" s="213"/>
      <c r="J669" s="213"/>
      <c r="K669" s="213"/>
      <c r="L669" s="213"/>
      <c r="M669" s="213"/>
      <c r="N669" s="213"/>
      <c r="O669" s="213"/>
      <c r="P669" s="213"/>
      <c r="Q669" s="213"/>
      <c r="R669" s="213"/>
      <c r="S669" s="213"/>
      <c r="T669" s="213"/>
      <c r="U669" s="213"/>
    </row>
    <row r="670" spans="3:21" x14ac:dyDescent="0.25">
      <c r="C670" s="213"/>
      <c r="D670" s="213"/>
      <c r="E670" s="213"/>
      <c r="F670" s="213"/>
      <c r="G670" s="213"/>
      <c r="H670" s="213"/>
      <c r="I670" s="213"/>
      <c r="J670" s="213"/>
      <c r="K670" s="213"/>
      <c r="L670" s="213"/>
      <c r="M670" s="213"/>
      <c r="N670" s="213"/>
      <c r="O670" s="213"/>
      <c r="P670" s="213"/>
      <c r="Q670" s="213"/>
      <c r="R670" s="213"/>
      <c r="S670" s="213"/>
      <c r="T670" s="213"/>
      <c r="U670" s="213"/>
    </row>
    <row r="671" spans="3:21" x14ac:dyDescent="0.25">
      <c r="C671" s="213"/>
      <c r="D671" s="213"/>
      <c r="E671" s="213"/>
      <c r="F671" s="213"/>
      <c r="G671" s="213"/>
      <c r="H671" s="213"/>
      <c r="I671" s="213"/>
      <c r="J671" s="213"/>
      <c r="K671" s="213"/>
      <c r="L671" s="213"/>
      <c r="M671" s="213"/>
      <c r="N671" s="213"/>
      <c r="O671" s="213"/>
      <c r="P671" s="213"/>
      <c r="Q671" s="213"/>
      <c r="R671" s="213"/>
      <c r="S671" s="213"/>
      <c r="T671" s="213"/>
      <c r="U671" s="213"/>
    </row>
    <row r="672" spans="3:21" x14ac:dyDescent="0.25">
      <c r="C672" s="213"/>
      <c r="D672" s="213"/>
      <c r="E672" s="213"/>
      <c r="F672" s="213"/>
      <c r="G672" s="213"/>
      <c r="H672" s="213"/>
      <c r="I672" s="213"/>
      <c r="J672" s="213"/>
      <c r="K672" s="213"/>
      <c r="L672" s="213"/>
      <c r="M672" s="213"/>
      <c r="N672" s="213"/>
      <c r="O672" s="213"/>
      <c r="P672" s="213"/>
      <c r="Q672" s="213"/>
      <c r="R672" s="213"/>
      <c r="S672" s="213"/>
      <c r="T672" s="213"/>
      <c r="U672" s="213"/>
    </row>
    <row r="673" spans="3:21" x14ac:dyDescent="0.25">
      <c r="C673" s="213"/>
      <c r="D673" s="213"/>
      <c r="E673" s="213"/>
      <c r="F673" s="213"/>
      <c r="G673" s="213"/>
      <c r="H673" s="213"/>
      <c r="I673" s="213"/>
      <c r="J673" s="213"/>
      <c r="K673" s="213"/>
      <c r="L673" s="213"/>
      <c r="M673" s="213"/>
      <c r="N673" s="213"/>
      <c r="O673" s="213"/>
      <c r="P673" s="213"/>
      <c r="Q673" s="213"/>
      <c r="R673" s="213"/>
      <c r="S673" s="213"/>
      <c r="T673" s="213"/>
      <c r="U673" s="213"/>
    </row>
    <row r="674" spans="3:21" x14ac:dyDescent="0.25">
      <c r="C674" s="213"/>
      <c r="D674" s="213"/>
      <c r="E674" s="213"/>
      <c r="F674" s="213"/>
      <c r="G674" s="213"/>
      <c r="H674" s="213"/>
      <c r="I674" s="213"/>
      <c r="J674" s="213"/>
      <c r="K674" s="213"/>
      <c r="L674" s="213"/>
      <c r="M674" s="213"/>
      <c r="N674" s="213"/>
      <c r="O674" s="213"/>
      <c r="P674" s="213"/>
      <c r="Q674" s="213"/>
      <c r="R674" s="213"/>
      <c r="S674" s="213"/>
      <c r="T674" s="213"/>
      <c r="U674" s="213"/>
    </row>
    <row r="675" spans="3:21" x14ac:dyDescent="0.25">
      <c r="C675" s="213"/>
      <c r="D675" s="213"/>
      <c r="E675" s="213"/>
      <c r="F675" s="213"/>
      <c r="G675" s="213"/>
      <c r="H675" s="213"/>
      <c r="I675" s="213"/>
      <c r="J675" s="213"/>
      <c r="K675" s="213"/>
      <c r="L675" s="213"/>
      <c r="M675" s="213"/>
      <c r="N675" s="213"/>
      <c r="O675" s="213"/>
      <c r="P675" s="213"/>
      <c r="Q675" s="213"/>
      <c r="R675" s="213"/>
      <c r="S675" s="213"/>
      <c r="T675" s="213"/>
      <c r="U675" s="213"/>
    </row>
    <row r="676" spans="3:21" x14ac:dyDescent="0.25">
      <c r="C676" s="213"/>
      <c r="D676" s="213"/>
      <c r="E676" s="213"/>
      <c r="F676" s="213"/>
      <c r="G676" s="213"/>
      <c r="H676" s="213"/>
      <c r="I676" s="213"/>
      <c r="J676" s="213"/>
      <c r="K676" s="213"/>
      <c r="L676" s="213"/>
      <c r="M676" s="213"/>
      <c r="N676" s="213"/>
      <c r="O676" s="213"/>
      <c r="P676" s="213"/>
      <c r="Q676" s="213"/>
      <c r="R676" s="213"/>
      <c r="S676" s="213"/>
      <c r="T676" s="213"/>
      <c r="U676" s="213"/>
    </row>
    <row r="677" spans="3:21" x14ac:dyDescent="0.25">
      <c r="C677" s="213"/>
      <c r="D677" s="213"/>
      <c r="E677" s="213"/>
      <c r="F677" s="213"/>
      <c r="G677" s="213"/>
      <c r="H677" s="213"/>
      <c r="I677" s="213"/>
      <c r="J677" s="213"/>
      <c r="K677" s="213"/>
      <c r="L677" s="213"/>
      <c r="M677" s="213"/>
      <c r="N677" s="213"/>
      <c r="O677" s="213"/>
      <c r="P677" s="213"/>
      <c r="Q677" s="213"/>
      <c r="R677" s="213"/>
      <c r="S677" s="213"/>
      <c r="T677" s="213"/>
      <c r="U677" s="213"/>
    </row>
    <row r="678" spans="3:21" x14ac:dyDescent="0.25">
      <c r="C678" s="213"/>
      <c r="D678" s="213"/>
      <c r="E678" s="213"/>
      <c r="F678" s="213"/>
      <c r="G678" s="213"/>
      <c r="H678" s="213"/>
      <c r="I678" s="213"/>
      <c r="J678" s="213"/>
      <c r="K678" s="213"/>
      <c r="L678" s="213"/>
      <c r="M678" s="213"/>
      <c r="N678" s="213"/>
      <c r="O678" s="213"/>
      <c r="P678" s="213"/>
      <c r="Q678" s="213"/>
      <c r="R678" s="213"/>
      <c r="S678" s="213"/>
      <c r="T678" s="213"/>
      <c r="U678" s="213"/>
    </row>
    <row r="679" spans="3:21" x14ac:dyDescent="0.25">
      <c r="C679" s="213"/>
      <c r="D679" s="213"/>
      <c r="E679" s="213"/>
      <c r="F679" s="213"/>
      <c r="G679" s="213"/>
      <c r="H679" s="213"/>
      <c r="I679" s="213"/>
      <c r="J679" s="213"/>
      <c r="K679" s="213"/>
      <c r="L679" s="213"/>
      <c r="M679" s="213"/>
      <c r="N679" s="213"/>
      <c r="O679" s="213"/>
      <c r="P679" s="213"/>
      <c r="Q679" s="213"/>
      <c r="R679" s="213"/>
      <c r="S679" s="213"/>
      <c r="T679" s="213"/>
      <c r="U679" s="213"/>
    </row>
    <row r="680" spans="3:21" x14ac:dyDescent="0.25">
      <c r="C680" s="213"/>
      <c r="D680" s="213"/>
      <c r="E680" s="213"/>
      <c r="F680" s="213"/>
      <c r="G680" s="213"/>
      <c r="H680" s="213"/>
      <c r="I680" s="213"/>
      <c r="J680" s="213"/>
      <c r="K680" s="213"/>
      <c r="L680" s="213"/>
      <c r="M680" s="213"/>
      <c r="N680" s="213"/>
      <c r="O680" s="213"/>
      <c r="P680" s="213"/>
      <c r="Q680" s="213"/>
      <c r="R680" s="213"/>
      <c r="S680" s="213"/>
      <c r="T680" s="213"/>
      <c r="U680" s="213"/>
    </row>
    <row r="681" spans="3:21" x14ac:dyDescent="0.25">
      <c r="C681" s="213"/>
      <c r="D681" s="213"/>
      <c r="E681" s="213"/>
      <c r="F681" s="213"/>
      <c r="G681" s="213"/>
      <c r="H681" s="213"/>
      <c r="I681" s="213"/>
      <c r="J681" s="213"/>
      <c r="K681" s="213"/>
      <c r="L681" s="213"/>
      <c r="M681" s="213"/>
      <c r="N681" s="213"/>
      <c r="O681" s="213"/>
      <c r="P681" s="213"/>
      <c r="Q681" s="213"/>
      <c r="R681" s="213"/>
      <c r="S681" s="213"/>
      <c r="T681" s="213"/>
      <c r="U681" s="213"/>
    </row>
    <row r="682" spans="3:21" x14ac:dyDescent="0.25">
      <c r="C682" s="213"/>
      <c r="D682" s="213"/>
      <c r="E682" s="213"/>
      <c r="F682" s="213"/>
      <c r="G682" s="213"/>
      <c r="H682" s="213"/>
      <c r="I682" s="213"/>
      <c r="J682" s="213"/>
      <c r="K682" s="213"/>
      <c r="L682" s="213"/>
      <c r="M682" s="213"/>
      <c r="N682" s="213"/>
      <c r="O682" s="213"/>
      <c r="P682" s="213"/>
      <c r="Q682" s="213"/>
      <c r="R682" s="213"/>
      <c r="S682" s="213"/>
      <c r="T682" s="213"/>
      <c r="U682" s="213"/>
    </row>
    <row r="683" spans="3:21" x14ac:dyDescent="0.25">
      <c r="C683" s="213"/>
      <c r="D683" s="213"/>
      <c r="E683" s="213"/>
      <c r="F683" s="213"/>
      <c r="G683" s="213"/>
      <c r="H683" s="213"/>
      <c r="I683" s="213"/>
      <c r="J683" s="213"/>
      <c r="K683" s="213"/>
      <c r="L683" s="213"/>
      <c r="M683" s="213"/>
      <c r="N683" s="213"/>
      <c r="O683" s="213"/>
      <c r="P683" s="213"/>
      <c r="Q683" s="213"/>
      <c r="R683" s="213"/>
      <c r="S683" s="213"/>
      <c r="T683" s="213"/>
      <c r="U683" s="213"/>
    </row>
    <row r="684" spans="3:21" x14ac:dyDescent="0.25">
      <c r="C684" s="213"/>
      <c r="D684" s="213"/>
      <c r="E684" s="213"/>
      <c r="F684" s="213"/>
      <c r="G684" s="213"/>
      <c r="H684" s="213"/>
      <c r="I684" s="213"/>
      <c r="J684" s="213"/>
      <c r="K684" s="213"/>
      <c r="L684" s="213"/>
      <c r="M684" s="213"/>
      <c r="N684" s="213"/>
      <c r="O684" s="213"/>
      <c r="P684" s="213"/>
      <c r="Q684" s="213"/>
      <c r="R684" s="213"/>
      <c r="S684" s="213"/>
      <c r="T684" s="213"/>
      <c r="U684" s="213"/>
    </row>
    <row r="685" spans="3:21" x14ac:dyDescent="0.25">
      <c r="C685" s="213"/>
      <c r="D685" s="213"/>
      <c r="E685" s="213"/>
      <c r="F685" s="213"/>
      <c r="G685" s="213"/>
      <c r="H685" s="213"/>
      <c r="I685" s="213"/>
      <c r="J685" s="213"/>
      <c r="K685" s="213"/>
      <c r="L685" s="213"/>
      <c r="M685" s="213"/>
      <c r="N685" s="213"/>
      <c r="O685" s="213"/>
      <c r="P685" s="213"/>
      <c r="Q685" s="213"/>
      <c r="R685" s="213"/>
      <c r="S685" s="213"/>
      <c r="T685" s="213"/>
      <c r="U685" s="213"/>
    </row>
    <row r="686" spans="3:21" x14ac:dyDescent="0.25">
      <c r="C686" s="213"/>
      <c r="D686" s="213"/>
      <c r="E686" s="213"/>
      <c r="F686" s="213"/>
      <c r="G686" s="213"/>
      <c r="H686" s="213"/>
      <c r="I686" s="213"/>
      <c r="J686" s="213"/>
      <c r="K686" s="213"/>
      <c r="L686" s="213"/>
      <c r="M686" s="213"/>
      <c r="N686" s="213"/>
      <c r="O686" s="213"/>
      <c r="P686" s="213"/>
      <c r="Q686" s="213"/>
      <c r="R686" s="213"/>
      <c r="S686" s="213"/>
      <c r="T686" s="213"/>
      <c r="U686" s="213"/>
    </row>
    <row r="687" spans="3:21" x14ac:dyDescent="0.25">
      <c r="C687" s="213"/>
      <c r="D687" s="213"/>
      <c r="E687" s="213"/>
      <c r="F687" s="213"/>
      <c r="G687" s="213"/>
      <c r="H687" s="213"/>
      <c r="I687" s="213"/>
      <c r="J687" s="213"/>
      <c r="K687" s="213"/>
      <c r="L687" s="213"/>
      <c r="M687" s="213"/>
      <c r="N687" s="213"/>
      <c r="O687" s="213"/>
      <c r="P687" s="213"/>
      <c r="Q687" s="213"/>
      <c r="R687" s="213"/>
      <c r="S687" s="213"/>
      <c r="T687" s="213"/>
      <c r="U687" s="213"/>
    </row>
    <row r="688" spans="3:21" x14ac:dyDescent="0.25">
      <c r="C688" s="213"/>
      <c r="D688" s="213"/>
      <c r="E688" s="213"/>
      <c r="F688" s="213"/>
      <c r="G688" s="213"/>
      <c r="H688" s="213"/>
      <c r="I688" s="213"/>
      <c r="J688" s="213"/>
      <c r="K688" s="213"/>
      <c r="L688" s="213"/>
      <c r="M688" s="213"/>
      <c r="N688" s="213"/>
      <c r="O688" s="213"/>
      <c r="P688" s="213"/>
      <c r="Q688" s="213"/>
      <c r="R688" s="213"/>
      <c r="S688" s="213"/>
      <c r="T688" s="213"/>
      <c r="U688" s="213"/>
    </row>
    <row r="689" spans="3:21" x14ac:dyDescent="0.25">
      <c r="C689" s="213"/>
      <c r="D689" s="213"/>
      <c r="E689" s="213"/>
      <c r="F689" s="213"/>
      <c r="G689" s="213"/>
      <c r="H689" s="213"/>
      <c r="I689" s="213"/>
      <c r="J689" s="213"/>
      <c r="K689" s="213"/>
      <c r="L689" s="213"/>
      <c r="M689" s="213"/>
      <c r="N689" s="213"/>
      <c r="O689" s="213"/>
      <c r="P689" s="213"/>
      <c r="Q689" s="213"/>
      <c r="R689" s="213"/>
      <c r="S689" s="213"/>
      <c r="T689" s="213"/>
      <c r="U689" s="213"/>
    </row>
    <row r="690" spans="3:21" x14ac:dyDescent="0.25">
      <c r="C690" s="213"/>
      <c r="D690" s="213"/>
      <c r="E690" s="213"/>
      <c r="F690" s="213"/>
      <c r="G690" s="213"/>
      <c r="H690" s="213"/>
      <c r="I690" s="213"/>
      <c r="J690" s="213"/>
      <c r="K690" s="213"/>
      <c r="L690" s="213"/>
      <c r="M690" s="213"/>
      <c r="N690" s="213"/>
      <c r="O690" s="213"/>
      <c r="P690" s="213"/>
      <c r="Q690" s="213"/>
      <c r="R690" s="213"/>
      <c r="S690" s="213"/>
      <c r="T690" s="213"/>
      <c r="U690" s="213"/>
    </row>
    <row r="691" spans="3:21" x14ac:dyDescent="0.25">
      <c r="C691" s="213"/>
      <c r="D691" s="213"/>
      <c r="E691" s="213"/>
      <c r="F691" s="213"/>
      <c r="G691" s="213"/>
      <c r="H691" s="213"/>
      <c r="I691" s="213"/>
      <c r="J691" s="213"/>
      <c r="K691" s="213"/>
      <c r="L691" s="213"/>
      <c r="M691" s="213"/>
      <c r="N691" s="213"/>
      <c r="O691" s="213"/>
      <c r="P691" s="213"/>
      <c r="Q691" s="213"/>
      <c r="R691" s="213"/>
      <c r="S691" s="213"/>
      <c r="T691" s="213"/>
      <c r="U691" s="213"/>
    </row>
    <row r="692" spans="3:21" x14ac:dyDescent="0.25">
      <c r="C692" s="213"/>
      <c r="D692" s="213"/>
      <c r="E692" s="213"/>
      <c r="F692" s="213"/>
      <c r="G692" s="213"/>
      <c r="H692" s="213"/>
      <c r="I692" s="213"/>
      <c r="J692" s="213"/>
      <c r="K692" s="213"/>
      <c r="L692" s="213"/>
      <c r="M692" s="213"/>
      <c r="N692" s="213"/>
      <c r="O692" s="213"/>
      <c r="P692" s="213"/>
      <c r="Q692" s="213"/>
      <c r="R692" s="213"/>
      <c r="S692" s="213"/>
      <c r="T692" s="213"/>
      <c r="U692" s="213"/>
    </row>
    <row r="693" spans="3:21" x14ac:dyDescent="0.25">
      <c r="C693" s="213"/>
      <c r="D693" s="213"/>
      <c r="E693" s="213"/>
      <c r="F693" s="213"/>
      <c r="G693" s="213"/>
      <c r="H693" s="213"/>
      <c r="I693" s="213"/>
      <c r="J693" s="213"/>
      <c r="K693" s="213"/>
      <c r="L693" s="213"/>
      <c r="M693" s="213"/>
      <c r="N693" s="213"/>
      <c r="O693" s="213"/>
      <c r="P693" s="213"/>
      <c r="Q693" s="213"/>
      <c r="R693" s="213"/>
      <c r="S693" s="213"/>
      <c r="T693" s="213"/>
      <c r="U693" s="213"/>
    </row>
    <row r="694" spans="3:21" x14ac:dyDescent="0.25">
      <c r="C694" s="213"/>
      <c r="D694" s="213"/>
      <c r="E694" s="213"/>
      <c r="F694" s="213"/>
      <c r="G694" s="213"/>
      <c r="H694" s="213"/>
      <c r="I694" s="213"/>
      <c r="J694" s="213"/>
      <c r="K694" s="213"/>
      <c r="L694" s="213"/>
      <c r="M694" s="213"/>
      <c r="N694" s="213"/>
      <c r="O694" s="213"/>
      <c r="P694" s="213"/>
      <c r="Q694" s="213"/>
      <c r="R694" s="213"/>
      <c r="S694" s="213"/>
      <c r="T694" s="213"/>
      <c r="U694" s="213"/>
    </row>
    <row r="695" spans="3:21" x14ac:dyDescent="0.25">
      <c r="C695" s="213"/>
      <c r="D695" s="213"/>
      <c r="E695" s="213"/>
      <c r="F695" s="213"/>
      <c r="G695" s="213"/>
      <c r="H695" s="213"/>
      <c r="I695" s="213"/>
      <c r="J695" s="213"/>
      <c r="K695" s="213"/>
      <c r="L695" s="213"/>
      <c r="M695" s="213"/>
      <c r="N695" s="213"/>
      <c r="O695" s="213"/>
      <c r="P695" s="213"/>
      <c r="Q695" s="213"/>
      <c r="R695" s="213"/>
      <c r="S695" s="213"/>
      <c r="T695" s="213"/>
      <c r="U695" s="213"/>
    </row>
    <row r="696" spans="3:21" x14ac:dyDescent="0.25">
      <c r="C696" s="213"/>
      <c r="D696" s="213"/>
      <c r="E696" s="213"/>
      <c r="F696" s="213"/>
      <c r="G696" s="213"/>
      <c r="H696" s="213"/>
      <c r="I696" s="213"/>
      <c r="J696" s="213"/>
      <c r="K696" s="213"/>
      <c r="L696" s="213"/>
      <c r="M696" s="213"/>
      <c r="N696" s="213"/>
      <c r="O696" s="213"/>
      <c r="P696" s="213"/>
      <c r="Q696" s="213"/>
      <c r="R696" s="213"/>
      <c r="S696" s="213"/>
      <c r="T696" s="213"/>
      <c r="U696" s="213"/>
    </row>
    <row r="697" spans="3:21" x14ac:dyDescent="0.25">
      <c r="C697" s="213"/>
      <c r="D697" s="213"/>
      <c r="E697" s="213"/>
      <c r="F697" s="213"/>
      <c r="G697" s="213"/>
      <c r="H697" s="213"/>
      <c r="I697" s="213"/>
      <c r="J697" s="213"/>
      <c r="K697" s="213"/>
      <c r="L697" s="213"/>
      <c r="M697" s="213"/>
      <c r="N697" s="213"/>
      <c r="O697" s="213"/>
      <c r="P697" s="213"/>
      <c r="Q697" s="213"/>
      <c r="R697" s="213"/>
      <c r="S697" s="213"/>
      <c r="T697" s="213"/>
      <c r="U697" s="213"/>
    </row>
    <row r="698" spans="3:21" x14ac:dyDescent="0.25">
      <c r="C698" s="213"/>
      <c r="D698" s="213"/>
      <c r="E698" s="213"/>
      <c r="F698" s="213"/>
      <c r="G698" s="213"/>
      <c r="H698" s="213"/>
      <c r="I698" s="213"/>
      <c r="J698" s="213"/>
      <c r="K698" s="213"/>
      <c r="L698" s="213"/>
      <c r="M698" s="213"/>
      <c r="N698" s="213"/>
      <c r="O698" s="213"/>
      <c r="P698" s="213"/>
      <c r="Q698" s="213"/>
      <c r="R698" s="213"/>
      <c r="S698" s="213"/>
      <c r="T698" s="213"/>
      <c r="U698" s="213"/>
    </row>
    <row r="699" spans="3:21" x14ac:dyDescent="0.25">
      <c r="C699" s="213"/>
      <c r="D699" s="213"/>
      <c r="E699" s="213"/>
      <c r="F699" s="213"/>
      <c r="G699" s="213"/>
      <c r="H699" s="213"/>
      <c r="I699" s="213"/>
      <c r="J699" s="213"/>
      <c r="K699" s="213"/>
      <c r="L699" s="213"/>
      <c r="M699" s="213"/>
      <c r="N699" s="213"/>
      <c r="O699" s="213"/>
      <c r="P699" s="213"/>
      <c r="Q699" s="213"/>
      <c r="R699" s="213"/>
      <c r="S699" s="213"/>
      <c r="T699" s="213"/>
      <c r="U699" s="213"/>
    </row>
    <row r="700" spans="3:21" x14ac:dyDescent="0.25">
      <c r="C700" s="213"/>
      <c r="D700" s="213"/>
      <c r="E700" s="213"/>
      <c r="F700" s="213"/>
      <c r="G700" s="213"/>
      <c r="H700" s="213"/>
      <c r="I700" s="213"/>
      <c r="J700" s="213"/>
      <c r="K700" s="213"/>
      <c r="L700" s="213"/>
      <c r="M700" s="213"/>
      <c r="N700" s="213"/>
      <c r="O700" s="213"/>
      <c r="P700" s="213"/>
      <c r="Q700" s="213"/>
      <c r="R700" s="213"/>
      <c r="S700" s="213"/>
      <c r="T700" s="213"/>
      <c r="U700" s="213"/>
    </row>
    <row r="701" spans="3:21" x14ac:dyDescent="0.25">
      <c r="C701" s="213"/>
      <c r="D701" s="213"/>
      <c r="E701" s="213"/>
      <c r="F701" s="213"/>
      <c r="G701" s="213"/>
      <c r="H701" s="213"/>
      <c r="I701" s="213"/>
      <c r="J701" s="213"/>
      <c r="K701" s="213"/>
      <c r="L701" s="213"/>
      <c r="M701" s="213"/>
      <c r="N701" s="213"/>
      <c r="O701" s="213"/>
      <c r="P701" s="213"/>
      <c r="Q701" s="213"/>
      <c r="R701" s="213"/>
      <c r="S701" s="213"/>
      <c r="T701" s="213"/>
      <c r="U701" s="213"/>
    </row>
    <row r="702" spans="3:21" x14ac:dyDescent="0.25">
      <c r="C702" s="213"/>
      <c r="D702" s="213"/>
      <c r="E702" s="213"/>
      <c r="F702" s="213"/>
      <c r="G702" s="213"/>
      <c r="H702" s="213"/>
      <c r="I702" s="213"/>
      <c r="J702" s="213"/>
      <c r="K702" s="213"/>
      <c r="L702" s="213"/>
      <c r="M702" s="213"/>
      <c r="N702" s="213"/>
      <c r="O702" s="213"/>
      <c r="P702" s="213"/>
      <c r="Q702" s="213"/>
      <c r="R702" s="213"/>
      <c r="S702" s="213"/>
      <c r="T702" s="213"/>
      <c r="U702" s="213"/>
    </row>
    <row r="703" spans="3:21" x14ac:dyDescent="0.25">
      <c r="C703" s="213"/>
      <c r="D703" s="213"/>
      <c r="E703" s="213"/>
      <c r="F703" s="213"/>
      <c r="G703" s="213"/>
      <c r="H703" s="213"/>
      <c r="I703" s="213"/>
      <c r="J703" s="213"/>
      <c r="K703" s="213"/>
      <c r="L703" s="213"/>
      <c r="M703" s="213"/>
      <c r="N703" s="213"/>
      <c r="O703" s="213"/>
      <c r="P703" s="213"/>
      <c r="Q703" s="213"/>
      <c r="R703" s="213"/>
      <c r="S703" s="213"/>
      <c r="T703" s="213"/>
      <c r="U703" s="213"/>
    </row>
    <row r="704" spans="3:21" x14ac:dyDescent="0.25">
      <c r="C704" s="213"/>
      <c r="D704" s="213"/>
      <c r="E704" s="213"/>
      <c r="F704" s="213"/>
      <c r="G704" s="213"/>
      <c r="H704" s="213"/>
      <c r="I704" s="213"/>
      <c r="J704" s="213"/>
      <c r="K704" s="213"/>
      <c r="L704" s="213"/>
      <c r="M704" s="213"/>
      <c r="N704" s="213"/>
      <c r="O704" s="213"/>
      <c r="P704" s="213"/>
      <c r="Q704" s="213"/>
      <c r="R704" s="213"/>
      <c r="S704" s="213"/>
      <c r="T704" s="213"/>
      <c r="U704" s="213"/>
    </row>
    <row r="705" spans="3:21" x14ac:dyDescent="0.25">
      <c r="C705" s="213"/>
      <c r="D705" s="213"/>
      <c r="E705" s="213"/>
      <c r="F705" s="213"/>
      <c r="G705" s="213"/>
      <c r="H705" s="213"/>
      <c r="I705" s="213"/>
      <c r="J705" s="213"/>
      <c r="K705" s="213"/>
      <c r="L705" s="213"/>
      <c r="M705" s="213"/>
      <c r="N705" s="213"/>
      <c r="O705" s="213"/>
      <c r="P705" s="213"/>
      <c r="Q705" s="213"/>
      <c r="R705" s="213"/>
      <c r="S705" s="213"/>
      <c r="T705" s="213"/>
      <c r="U705" s="213"/>
    </row>
    <row r="706" spans="3:21" x14ac:dyDescent="0.25">
      <c r="C706" s="213"/>
      <c r="D706" s="213"/>
      <c r="E706" s="213"/>
      <c r="F706" s="213"/>
      <c r="G706" s="213"/>
      <c r="H706" s="213"/>
      <c r="I706" s="213"/>
      <c r="J706" s="213"/>
      <c r="K706" s="213"/>
      <c r="L706" s="213"/>
      <c r="M706" s="213"/>
      <c r="N706" s="213"/>
      <c r="O706" s="213"/>
      <c r="P706" s="213"/>
      <c r="Q706" s="213"/>
      <c r="R706" s="213"/>
      <c r="S706" s="213"/>
      <c r="T706" s="213"/>
      <c r="U706" s="213"/>
    </row>
    <row r="707" spans="3:21" x14ac:dyDescent="0.25">
      <c r="C707" s="213"/>
      <c r="D707" s="213"/>
      <c r="E707" s="213"/>
      <c r="F707" s="213"/>
      <c r="G707" s="213"/>
      <c r="H707" s="213"/>
      <c r="I707" s="213"/>
      <c r="J707" s="213"/>
      <c r="K707" s="213"/>
      <c r="L707" s="213"/>
      <c r="M707" s="213"/>
      <c r="N707" s="213"/>
      <c r="O707" s="213"/>
      <c r="P707" s="213"/>
      <c r="Q707" s="213"/>
      <c r="R707" s="213"/>
      <c r="S707" s="213"/>
      <c r="T707" s="213"/>
      <c r="U707" s="213"/>
    </row>
    <row r="708" spans="3:21" x14ac:dyDescent="0.25">
      <c r="C708" s="213"/>
      <c r="D708" s="213"/>
      <c r="E708" s="213"/>
      <c r="F708" s="213"/>
      <c r="G708" s="213"/>
      <c r="H708" s="213"/>
      <c r="I708" s="213"/>
      <c r="J708" s="213"/>
      <c r="K708" s="213"/>
      <c r="L708" s="213"/>
      <c r="M708" s="213"/>
      <c r="N708" s="213"/>
      <c r="O708" s="213"/>
      <c r="P708" s="213"/>
      <c r="Q708" s="213"/>
      <c r="R708" s="213"/>
      <c r="S708" s="213"/>
      <c r="T708" s="213"/>
      <c r="U708" s="213"/>
    </row>
    <row r="709" spans="3:21" x14ac:dyDescent="0.25">
      <c r="C709" s="213"/>
      <c r="D709" s="213"/>
      <c r="E709" s="213"/>
      <c r="F709" s="213"/>
      <c r="G709" s="213"/>
      <c r="H709" s="213"/>
      <c r="I709" s="213"/>
      <c r="J709" s="213"/>
      <c r="K709" s="213"/>
      <c r="L709" s="213"/>
      <c r="M709" s="213"/>
      <c r="N709" s="213"/>
      <c r="O709" s="213"/>
      <c r="P709" s="213"/>
      <c r="Q709" s="213"/>
      <c r="R709" s="213"/>
      <c r="S709" s="213"/>
      <c r="T709" s="213"/>
      <c r="U709" s="213"/>
    </row>
    <row r="710" spans="3:21" x14ac:dyDescent="0.25">
      <c r="C710" s="213"/>
      <c r="D710" s="213"/>
      <c r="E710" s="213"/>
      <c r="F710" s="213"/>
      <c r="G710" s="213"/>
      <c r="H710" s="213"/>
      <c r="I710" s="213"/>
      <c r="J710" s="213"/>
      <c r="K710" s="213"/>
      <c r="L710" s="213"/>
      <c r="M710" s="213"/>
      <c r="N710" s="213"/>
      <c r="O710" s="213"/>
      <c r="P710" s="213"/>
      <c r="Q710" s="213"/>
      <c r="R710" s="213"/>
      <c r="S710" s="213"/>
      <c r="T710" s="213"/>
      <c r="U710" s="213"/>
    </row>
    <row r="711" spans="3:21" x14ac:dyDescent="0.25">
      <c r="C711" s="213"/>
      <c r="D711" s="213"/>
      <c r="E711" s="213"/>
      <c r="F711" s="213"/>
      <c r="G711" s="213"/>
      <c r="H711" s="213"/>
      <c r="I711" s="213"/>
      <c r="J711" s="213"/>
      <c r="K711" s="213"/>
      <c r="L711" s="213"/>
      <c r="M711" s="213"/>
      <c r="N711" s="213"/>
      <c r="O711" s="213"/>
      <c r="P711" s="213"/>
      <c r="Q711" s="213"/>
      <c r="R711" s="213"/>
      <c r="S711" s="213"/>
      <c r="T711" s="213"/>
      <c r="U711" s="213"/>
    </row>
    <row r="712" spans="3:21" x14ac:dyDescent="0.25">
      <c r="C712" s="213"/>
      <c r="D712" s="213"/>
      <c r="E712" s="213"/>
      <c r="F712" s="213"/>
      <c r="G712" s="213"/>
      <c r="H712" s="213"/>
      <c r="I712" s="213"/>
      <c r="J712" s="213"/>
      <c r="K712" s="213"/>
      <c r="L712" s="213"/>
      <c r="M712" s="213"/>
      <c r="N712" s="213"/>
      <c r="O712" s="213"/>
      <c r="P712" s="213"/>
      <c r="Q712" s="213"/>
      <c r="R712" s="213"/>
      <c r="S712" s="213"/>
      <c r="T712" s="213"/>
      <c r="U712" s="213"/>
    </row>
    <row r="713" spans="3:21" x14ac:dyDescent="0.25">
      <c r="C713" s="213"/>
      <c r="D713" s="213"/>
      <c r="E713" s="213"/>
      <c r="F713" s="213"/>
      <c r="G713" s="213"/>
      <c r="H713" s="213"/>
      <c r="I713" s="213"/>
      <c r="J713" s="213"/>
      <c r="K713" s="213"/>
      <c r="L713" s="213"/>
      <c r="M713" s="213"/>
      <c r="N713" s="213"/>
      <c r="O713" s="213"/>
      <c r="P713" s="213"/>
      <c r="Q713" s="213"/>
      <c r="R713" s="213"/>
      <c r="S713" s="213"/>
      <c r="T713" s="213"/>
      <c r="U713" s="213"/>
    </row>
    <row r="714" spans="3:21" x14ac:dyDescent="0.25">
      <c r="C714" s="213"/>
      <c r="D714" s="213"/>
      <c r="E714" s="213"/>
      <c r="F714" s="213"/>
      <c r="G714" s="213"/>
      <c r="H714" s="213"/>
      <c r="I714" s="213"/>
      <c r="J714" s="213"/>
      <c r="K714" s="213"/>
      <c r="L714" s="213"/>
      <c r="M714" s="213"/>
      <c r="N714" s="213"/>
      <c r="O714" s="213"/>
      <c r="P714" s="213"/>
      <c r="Q714" s="213"/>
      <c r="R714" s="213"/>
      <c r="S714" s="213"/>
      <c r="T714" s="213"/>
      <c r="U714" s="213"/>
    </row>
    <row r="715" spans="3:21" x14ac:dyDescent="0.25">
      <c r="C715" s="213"/>
      <c r="D715" s="213"/>
      <c r="E715" s="213"/>
      <c r="F715" s="213"/>
      <c r="G715" s="213"/>
      <c r="H715" s="213"/>
      <c r="I715" s="213"/>
      <c r="J715" s="213"/>
      <c r="K715" s="213"/>
      <c r="L715" s="213"/>
      <c r="M715" s="213"/>
      <c r="N715" s="213"/>
      <c r="O715" s="213"/>
      <c r="P715" s="213"/>
      <c r="Q715" s="213"/>
      <c r="R715" s="213"/>
      <c r="S715" s="213"/>
      <c r="T715" s="213"/>
      <c r="U715" s="213"/>
    </row>
    <row r="716" spans="3:21" x14ac:dyDescent="0.25">
      <c r="C716" s="213"/>
      <c r="D716" s="213"/>
      <c r="E716" s="213"/>
      <c r="F716" s="213"/>
      <c r="G716" s="213"/>
      <c r="H716" s="213"/>
      <c r="I716" s="213"/>
      <c r="J716" s="213"/>
      <c r="K716" s="213"/>
      <c r="L716" s="213"/>
      <c r="M716" s="213"/>
      <c r="N716" s="213"/>
      <c r="O716" s="213"/>
      <c r="P716" s="213"/>
      <c r="Q716" s="213"/>
      <c r="R716" s="213"/>
      <c r="S716" s="213"/>
      <c r="T716" s="213"/>
      <c r="U716" s="213"/>
    </row>
    <row r="717" spans="3:21" x14ac:dyDescent="0.25">
      <c r="C717" s="213"/>
      <c r="D717" s="213"/>
      <c r="E717" s="213"/>
      <c r="F717" s="213"/>
      <c r="G717" s="213"/>
      <c r="H717" s="213"/>
      <c r="I717" s="213"/>
      <c r="J717" s="213"/>
      <c r="K717" s="213"/>
      <c r="L717" s="213"/>
      <c r="M717" s="213"/>
      <c r="N717" s="213"/>
      <c r="O717" s="213"/>
      <c r="P717" s="213"/>
      <c r="Q717" s="213"/>
      <c r="R717" s="213"/>
      <c r="S717" s="213"/>
      <c r="T717" s="213"/>
      <c r="U717" s="213"/>
    </row>
    <row r="718" spans="3:21" x14ac:dyDescent="0.25">
      <c r="C718" s="213"/>
      <c r="D718" s="213"/>
      <c r="E718" s="213"/>
      <c r="F718" s="213"/>
      <c r="G718" s="213"/>
      <c r="H718" s="213"/>
      <c r="I718" s="213"/>
      <c r="J718" s="213"/>
      <c r="K718" s="213"/>
      <c r="L718" s="213"/>
      <c r="M718" s="213"/>
      <c r="N718" s="213"/>
      <c r="O718" s="213"/>
      <c r="P718" s="213"/>
      <c r="Q718" s="213"/>
      <c r="R718" s="213"/>
      <c r="S718" s="213"/>
      <c r="T718" s="213"/>
      <c r="U718" s="213"/>
    </row>
    <row r="719" spans="3:21" x14ac:dyDescent="0.25">
      <c r="C719" s="213"/>
      <c r="D719" s="213"/>
      <c r="E719" s="213"/>
      <c r="F719" s="213"/>
      <c r="G719" s="213"/>
      <c r="H719" s="213"/>
      <c r="I719" s="213"/>
      <c r="J719" s="213"/>
      <c r="K719" s="213"/>
      <c r="L719" s="213"/>
      <c r="M719" s="213"/>
      <c r="N719" s="213"/>
      <c r="O719" s="213"/>
      <c r="P719" s="213"/>
      <c r="Q719" s="213"/>
      <c r="R719" s="213"/>
      <c r="S719" s="213"/>
      <c r="T719" s="213"/>
      <c r="U719" s="213"/>
    </row>
    <row r="720" spans="3:21" x14ac:dyDescent="0.25">
      <c r="C720" s="213"/>
      <c r="D720" s="213"/>
      <c r="E720" s="213"/>
      <c r="F720" s="213"/>
      <c r="G720" s="213"/>
      <c r="H720" s="213"/>
      <c r="I720" s="213"/>
      <c r="J720" s="213"/>
      <c r="K720" s="213"/>
      <c r="L720" s="213"/>
      <c r="M720" s="213"/>
      <c r="N720" s="213"/>
      <c r="O720" s="213"/>
      <c r="P720" s="213"/>
      <c r="Q720" s="213"/>
      <c r="R720" s="213"/>
      <c r="S720" s="213"/>
      <c r="T720" s="213"/>
      <c r="U720" s="213"/>
    </row>
    <row r="721" spans="3:21" x14ac:dyDescent="0.25">
      <c r="C721" s="213"/>
      <c r="D721" s="213"/>
      <c r="E721" s="213"/>
      <c r="F721" s="213"/>
      <c r="G721" s="213"/>
      <c r="H721" s="213"/>
      <c r="I721" s="213"/>
      <c r="J721" s="213"/>
      <c r="K721" s="213"/>
      <c r="L721" s="213"/>
      <c r="M721" s="213"/>
      <c r="N721" s="213"/>
      <c r="O721" s="213"/>
      <c r="P721" s="213"/>
      <c r="Q721" s="213"/>
      <c r="R721" s="213"/>
      <c r="S721" s="213"/>
      <c r="T721" s="213"/>
      <c r="U721" s="213"/>
    </row>
    <row r="722" spans="3:21" x14ac:dyDescent="0.25">
      <c r="C722" s="213"/>
      <c r="D722" s="213"/>
      <c r="E722" s="213"/>
      <c r="F722" s="213"/>
      <c r="G722" s="213"/>
      <c r="H722" s="213"/>
      <c r="I722" s="213"/>
      <c r="J722" s="213"/>
      <c r="K722" s="213"/>
      <c r="L722" s="213"/>
      <c r="M722" s="213"/>
      <c r="N722" s="213"/>
      <c r="O722" s="213"/>
      <c r="P722" s="213"/>
      <c r="Q722" s="213"/>
      <c r="R722" s="213"/>
      <c r="S722" s="213"/>
      <c r="T722" s="213"/>
      <c r="U722" s="213"/>
    </row>
    <row r="723" spans="3:21" x14ac:dyDescent="0.25">
      <c r="C723" s="213"/>
      <c r="D723" s="213"/>
      <c r="E723" s="213"/>
      <c r="F723" s="213"/>
      <c r="G723" s="213"/>
      <c r="H723" s="213"/>
      <c r="I723" s="213"/>
      <c r="J723" s="213"/>
      <c r="K723" s="213"/>
      <c r="L723" s="213"/>
      <c r="M723" s="213"/>
      <c r="N723" s="213"/>
      <c r="O723" s="213"/>
      <c r="P723" s="213"/>
      <c r="Q723" s="213"/>
      <c r="R723" s="213"/>
      <c r="S723" s="213"/>
      <c r="T723" s="213"/>
      <c r="U723" s="213"/>
    </row>
    <row r="724" spans="3:21" x14ac:dyDescent="0.25">
      <c r="C724" s="213"/>
      <c r="D724" s="213"/>
      <c r="E724" s="213"/>
      <c r="F724" s="213"/>
      <c r="G724" s="213"/>
      <c r="H724" s="213"/>
      <c r="I724" s="213"/>
      <c r="J724" s="213"/>
      <c r="K724" s="213"/>
      <c r="L724" s="213"/>
      <c r="M724" s="213"/>
      <c r="N724" s="213"/>
      <c r="O724" s="213"/>
      <c r="P724" s="213"/>
      <c r="Q724" s="213"/>
      <c r="R724" s="213"/>
      <c r="S724" s="213"/>
      <c r="T724" s="213"/>
      <c r="U724" s="213"/>
    </row>
    <row r="725" spans="3:21" x14ac:dyDescent="0.25">
      <c r="C725" s="213"/>
      <c r="D725" s="213"/>
      <c r="E725" s="213"/>
      <c r="F725" s="213"/>
      <c r="G725" s="213"/>
      <c r="H725" s="213"/>
      <c r="I725" s="213"/>
      <c r="J725" s="213"/>
      <c r="K725" s="213"/>
      <c r="L725" s="213"/>
      <c r="M725" s="213"/>
      <c r="N725" s="213"/>
      <c r="O725" s="213"/>
      <c r="P725" s="213"/>
      <c r="Q725" s="213"/>
      <c r="R725" s="213"/>
      <c r="S725" s="213"/>
      <c r="T725" s="213"/>
      <c r="U725" s="213"/>
    </row>
    <row r="726" spans="3:21" x14ac:dyDescent="0.25">
      <c r="C726" s="213"/>
      <c r="D726" s="213"/>
      <c r="E726" s="213"/>
      <c r="F726" s="213"/>
      <c r="G726" s="213"/>
      <c r="H726" s="213"/>
      <c r="I726" s="213"/>
      <c r="J726" s="213"/>
      <c r="K726" s="213"/>
      <c r="L726" s="213"/>
      <c r="M726" s="213"/>
      <c r="N726" s="213"/>
      <c r="O726" s="213"/>
      <c r="P726" s="213"/>
      <c r="Q726" s="213"/>
      <c r="R726" s="213"/>
      <c r="S726" s="213"/>
      <c r="T726" s="213"/>
      <c r="U726" s="213"/>
    </row>
    <row r="727" spans="3:21" x14ac:dyDescent="0.25">
      <c r="C727" s="213"/>
      <c r="D727" s="213"/>
      <c r="E727" s="213"/>
      <c r="F727" s="213"/>
      <c r="G727" s="213"/>
      <c r="H727" s="213"/>
      <c r="I727" s="213"/>
      <c r="J727" s="213"/>
      <c r="K727" s="213"/>
      <c r="L727" s="213"/>
      <c r="M727" s="213"/>
      <c r="N727" s="213"/>
      <c r="O727" s="213"/>
      <c r="P727" s="213"/>
      <c r="Q727" s="213"/>
      <c r="R727" s="213"/>
      <c r="S727" s="213"/>
      <c r="T727" s="213"/>
      <c r="U727" s="213"/>
    </row>
    <row r="728" spans="3:21" x14ac:dyDescent="0.25">
      <c r="C728" s="213"/>
      <c r="D728" s="213"/>
      <c r="E728" s="213"/>
      <c r="F728" s="213"/>
      <c r="G728" s="213"/>
      <c r="H728" s="213"/>
      <c r="I728" s="213"/>
      <c r="J728" s="213"/>
      <c r="K728" s="213"/>
      <c r="L728" s="213"/>
      <c r="M728" s="213"/>
      <c r="N728" s="213"/>
      <c r="O728" s="213"/>
      <c r="P728" s="213"/>
      <c r="Q728" s="213"/>
      <c r="R728" s="213"/>
      <c r="S728" s="213"/>
      <c r="T728" s="213"/>
      <c r="U728" s="213"/>
    </row>
    <row r="729" spans="3:21" x14ac:dyDescent="0.25">
      <c r="C729" s="213"/>
      <c r="D729" s="213"/>
      <c r="E729" s="213"/>
      <c r="F729" s="213"/>
      <c r="G729" s="213"/>
      <c r="H729" s="213"/>
      <c r="I729" s="213"/>
      <c r="J729" s="213"/>
      <c r="K729" s="213"/>
      <c r="L729" s="213"/>
      <c r="M729" s="213"/>
      <c r="N729" s="213"/>
      <c r="O729" s="213"/>
      <c r="P729" s="213"/>
      <c r="Q729" s="213"/>
      <c r="R729" s="213"/>
      <c r="S729" s="213"/>
      <c r="T729" s="213"/>
      <c r="U729" s="213"/>
    </row>
    <row r="730" spans="3:21" x14ac:dyDescent="0.25">
      <c r="C730" s="213"/>
      <c r="D730" s="213"/>
      <c r="E730" s="213"/>
      <c r="F730" s="213"/>
      <c r="G730" s="213"/>
      <c r="H730" s="213"/>
      <c r="I730" s="213"/>
      <c r="J730" s="213"/>
      <c r="K730" s="213"/>
      <c r="L730" s="213"/>
      <c r="M730" s="213"/>
      <c r="N730" s="213"/>
      <c r="O730" s="213"/>
      <c r="P730" s="213"/>
      <c r="Q730" s="213"/>
      <c r="R730" s="213"/>
      <c r="S730" s="213"/>
      <c r="T730" s="213"/>
      <c r="U730" s="213"/>
    </row>
    <row r="731" spans="3:21" x14ac:dyDescent="0.25">
      <c r="C731" s="213"/>
      <c r="D731" s="213"/>
      <c r="E731" s="213"/>
      <c r="F731" s="213"/>
      <c r="G731" s="213"/>
      <c r="H731" s="213"/>
      <c r="I731" s="213"/>
      <c r="J731" s="213"/>
      <c r="K731" s="213"/>
      <c r="L731" s="213"/>
      <c r="M731" s="213"/>
      <c r="N731" s="213"/>
      <c r="O731" s="213"/>
      <c r="P731" s="213"/>
      <c r="Q731" s="213"/>
      <c r="R731" s="213"/>
      <c r="S731" s="213"/>
      <c r="T731" s="213"/>
      <c r="U731" s="213"/>
    </row>
    <row r="732" spans="3:21" x14ac:dyDescent="0.25">
      <c r="C732" s="213"/>
      <c r="D732" s="213"/>
      <c r="E732" s="213"/>
      <c r="F732" s="213"/>
      <c r="G732" s="213"/>
      <c r="H732" s="213"/>
      <c r="I732" s="213"/>
      <c r="J732" s="213"/>
      <c r="K732" s="213"/>
      <c r="L732" s="213"/>
      <c r="M732" s="213"/>
      <c r="N732" s="213"/>
      <c r="O732" s="213"/>
      <c r="P732" s="213"/>
      <c r="Q732" s="213"/>
      <c r="R732" s="213"/>
      <c r="S732" s="213"/>
      <c r="T732" s="213"/>
      <c r="U732" s="213"/>
    </row>
    <row r="733" spans="3:21" x14ac:dyDescent="0.25">
      <c r="C733" s="213"/>
      <c r="D733" s="213"/>
      <c r="E733" s="213"/>
      <c r="F733" s="213"/>
      <c r="G733" s="213"/>
      <c r="H733" s="213"/>
      <c r="I733" s="213"/>
      <c r="J733" s="213"/>
      <c r="K733" s="213"/>
      <c r="L733" s="213"/>
      <c r="M733" s="213"/>
      <c r="N733" s="213"/>
      <c r="O733" s="213"/>
      <c r="P733" s="213"/>
      <c r="Q733" s="213"/>
      <c r="R733" s="213"/>
      <c r="S733" s="213"/>
      <c r="T733" s="213"/>
      <c r="U733" s="213"/>
    </row>
    <row r="734" spans="3:21" x14ac:dyDescent="0.25">
      <c r="C734" s="213"/>
      <c r="D734" s="213"/>
      <c r="E734" s="213"/>
      <c r="F734" s="213"/>
      <c r="G734" s="213"/>
      <c r="H734" s="213"/>
      <c r="I734" s="213"/>
      <c r="J734" s="213"/>
      <c r="K734" s="213"/>
      <c r="L734" s="213"/>
      <c r="M734" s="213"/>
      <c r="N734" s="213"/>
      <c r="O734" s="213"/>
      <c r="P734" s="213"/>
      <c r="Q734" s="213"/>
      <c r="R734" s="213"/>
      <c r="S734" s="213"/>
      <c r="T734" s="213"/>
      <c r="U734" s="213"/>
    </row>
    <row r="735" spans="3:21" x14ac:dyDescent="0.25">
      <c r="C735" s="213"/>
      <c r="D735" s="213"/>
      <c r="E735" s="213"/>
      <c r="F735" s="213"/>
      <c r="G735" s="213"/>
      <c r="H735" s="213"/>
      <c r="I735" s="213"/>
      <c r="J735" s="213"/>
      <c r="K735" s="213"/>
      <c r="L735" s="213"/>
      <c r="M735" s="213"/>
      <c r="N735" s="213"/>
      <c r="O735" s="213"/>
      <c r="P735" s="213"/>
      <c r="Q735" s="213"/>
      <c r="R735" s="213"/>
      <c r="S735" s="213"/>
      <c r="T735" s="213"/>
      <c r="U735" s="213"/>
    </row>
    <row r="736" spans="3:21" x14ac:dyDescent="0.25">
      <c r="C736" s="213"/>
      <c r="D736" s="213"/>
      <c r="E736" s="213"/>
      <c r="F736" s="213"/>
      <c r="G736" s="213"/>
      <c r="H736" s="213"/>
      <c r="I736" s="213"/>
      <c r="J736" s="213"/>
      <c r="K736" s="213"/>
      <c r="L736" s="213"/>
      <c r="M736" s="213"/>
      <c r="N736" s="213"/>
      <c r="O736" s="213"/>
      <c r="P736" s="213"/>
      <c r="Q736" s="213"/>
      <c r="R736" s="213"/>
      <c r="S736" s="213"/>
      <c r="T736" s="213"/>
      <c r="U736" s="213"/>
    </row>
    <row r="737" spans="3:21" x14ac:dyDescent="0.25">
      <c r="C737" s="213"/>
      <c r="D737" s="213"/>
      <c r="E737" s="213"/>
      <c r="F737" s="213"/>
      <c r="G737" s="213"/>
      <c r="H737" s="213"/>
      <c r="I737" s="213"/>
      <c r="J737" s="213"/>
      <c r="K737" s="213"/>
      <c r="L737" s="213"/>
      <c r="M737" s="213"/>
      <c r="N737" s="213"/>
      <c r="O737" s="213"/>
      <c r="P737" s="213"/>
      <c r="Q737" s="213"/>
      <c r="R737" s="213"/>
      <c r="S737" s="213"/>
      <c r="T737" s="213"/>
      <c r="U737" s="213"/>
    </row>
    <row r="738" spans="3:21" x14ac:dyDescent="0.25">
      <c r="C738" s="213"/>
      <c r="D738" s="213"/>
      <c r="E738" s="213"/>
      <c r="F738" s="213"/>
      <c r="G738" s="213"/>
      <c r="H738" s="213"/>
      <c r="I738" s="213"/>
      <c r="J738" s="213"/>
      <c r="K738" s="213"/>
      <c r="L738" s="213"/>
      <c r="M738" s="213"/>
      <c r="N738" s="213"/>
      <c r="O738" s="213"/>
      <c r="P738" s="213"/>
      <c r="Q738" s="213"/>
      <c r="R738" s="213"/>
      <c r="S738" s="213"/>
      <c r="T738" s="213"/>
      <c r="U738" s="213"/>
    </row>
    <row r="739" spans="3:21" x14ac:dyDescent="0.25">
      <c r="C739" s="213"/>
      <c r="D739" s="213"/>
      <c r="E739" s="213"/>
      <c r="F739" s="213"/>
      <c r="G739" s="213"/>
      <c r="H739" s="213"/>
      <c r="I739" s="213"/>
      <c r="J739" s="213"/>
      <c r="K739" s="213"/>
      <c r="L739" s="213"/>
      <c r="M739" s="213"/>
      <c r="N739" s="213"/>
      <c r="O739" s="213"/>
      <c r="P739" s="213"/>
      <c r="Q739" s="213"/>
      <c r="R739" s="213"/>
      <c r="S739" s="213"/>
      <c r="T739" s="213"/>
      <c r="U739" s="213"/>
    </row>
    <row r="740" spans="3:21" x14ac:dyDescent="0.25">
      <c r="C740" s="213"/>
      <c r="D740" s="213"/>
      <c r="E740" s="213"/>
      <c r="F740" s="213"/>
      <c r="G740" s="213"/>
      <c r="H740" s="213"/>
      <c r="I740" s="213"/>
      <c r="J740" s="213"/>
      <c r="K740" s="213"/>
      <c r="L740" s="213"/>
      <c r="M740" s="213"/>
      <c r="N740" s="213"/>
      <c r="O740" s="213"/>
      <c r="P740" s="213"/>
      <c r="Q740" s="213"/>
      <c r="R740" s="213"/>
      <c r="S740" s="213"/>
      <c r="T740" s="213"/>
      <c r="U740" s="213"/>
    </row>
    <row r="741" spans="3:21" x14ac:dyDescent="0.25">
      <c r="C741" s="213"/>
      <c r="D741" s="213"/>
      <c r="E741" s="213"/>
      <c r="F741" s="213"/>
      <c r="G741" s="213"/>
      <c r="H741" s="213"/>
      <c r="I741" s="213"/>
      <c r="J741" s="213"/>
      <c r="K741" s="213"/>
      <c r="L741" s="213"/>
      <c r="M741" s="213"/>
      <c r="N741" s="213"/>
      <c r="O741" s="213"/>
      <c r="P741" s="213"/>
      <c r="Q741" s="213"/>
      <c r="R741" s="213"/>
      <c r="S741" s="213"/>
      <c r="T741" s="213"/>
      <c r="U741" s="213"/>
    </row>
    <row r="742" spans="3:21" x14ac:dyDescent="0.25">
      <c r="C742" s="213"/>
      <c r="D742" s="213"/>
      <c r="E742" s="213"/>
      <c r="F742" s="213"/>
      <c r="G742" s="213"/>
      <c r="H742" s="213"/>
      <c r="I742" s="213"/>
      <c r="J742" s="213"/>
      <c r="K742" s="213"/>
      <c r="L742" s="213"/>
      <c r="M742" s="213"/>
      <c r="N742" s="213"/>
      <c r="O742" s="213"/>
      <c r="P742" s="213"/>
      <c r="Q742" s="213"/>
      <c r="R742" s="213"/>
      <c r="S742" s="213"/>
      <c r="T742" s="213"/>
      <c r="U742" s="213"/>
    </row>
    <row r="743" spans="3:21" x14ac:dyDescent="0.25">
      <c r="C743" s="213"/>
      <c r="D743" s="213"/>
      <c r="E743" s="213"/>
      <c r="F743" s="213"/>
      <c r="G743" s="213"/>
      <c r="H743" s="213"/>
      <c r="I743" s="213"/>
      <c r="J743" s="213"/>
      <c r="K743" s="213"/>
      <c r="L743" s="213"/>
      <c r="M743" s="213"/>
      <c r="N743" s="213"/>
      <c r="O743" s="213"/>
      <c r="P743" s="213"/>
      <c r="Q743" s="213"/>
      <c r="R743" s="213"/>
      <c r="S743" s="213"/>
      <c r="T743" s="213"/>
      <c r="U743" s="213"/>
    </row>
    <row r="744" spans="3:21" x14ac:dyDescent="0.25">
      <c r="C744" s="213"/>
      <c r="D744" s="213"/>
      <c r="E744" s="213"/>
      <c r="F744" s="213"/>
      <c r="G744" s="213"/>
      <c r="H744" s="213"/>
      <c r="I744" s="213"/>
      <c r="J744" s="213"/>
      <c r="K744" s="213"/>
      <c r="L744" s="213"/>
      <c r="M744" s="213"/>
      <c r="N744" s="213"/>
      <c r="O744" s="213"/>
      <c r="P744" s="213"/>
      <c r="Q744" s="213"/>
      <c r="R744" s="213"/>
      <c r="S744" s="213"/>
      <c r="T744" s="213"/>
      <c r="U744" s="213"/>
    </row>
    <row r="745" spans="3:21" x14ac:dyDescent="0.25">
      <c r="C745" s="213"/>
      <c r="D745" s="213"/>
      <c r="E745" s="213"/>
      <c r="F745" s="213"/>
      <c r="G745" s="213"/>
      <c r="H745" s="213"/>
      <c r="I745" s="213"/>
      <c r="J745" s="213"/>
      <c r="K745" s="213"/>
      <c r="L745" s="213"/>
      <c r="M745" s="213"/>
      <c r="N745" s="213"/>
      <c r="O745" s="213"/>
      <c r="P745" s="213"/>
      <c r="Q745" s="213"/>
      <c r="R745" s="213"/>
      <c r="S745" s="213"/>
      <c r="T745" s="213"/>
      <c r="U745" s="213"/>
    </row>
    <row r="746" spans="3:21" x14ac:dyDescent="0.25">
      <c r="C746" s="213"/>
      <c r="D746" s="213"/>
      <c r="E746" s="213"/>
      <c r="F746" s="213"/>
      <c r="G746" s="213"/>
      <c r="H746" s="213"/>
      <c r="I746" s="213"/>
      <c r="J746" s="213"/>
      <c r="K746" s="213"/>
      <c r="L746" s="213"/>
      <c r="M746" s="213"/>
      <c r="N746" s="213"/>
      <c r="O746" s="213"/>
      <c r="P746" s="213"/>
      <c r="Q746" s="213"/>
      <c r="R746" s="213"/>
      <c r="S746" s="213"/>
      <c r="T746" s="213"/>
      <c r="U746" s="213"/>
    </row>
    <row r="747" spans="3:21" x14ac:dyDescent="0.25">
      <c r="C747" s="213"/>
      <c r="D747" s="213"/>
      <c r="E747" s="213"/>
      <c r="F747" s="213"/>
      <c r="G747" s="213"/>
      <c r="H747" s="213"/>
      <c r="I747" s="213"/>
      <c r="J747" s="213"/>
      <c r="K747" s="213"/>
      <c r="L747" s="213"/>
      <c r="M747" s="213"/>
      <c r="N747" s="213"/>
      <c r="O747" s="213"/>
      <c r="P747" s="213"/>
      <c r="Q747" s="213"/>
      <c r="R747" s="213"/>
      <c r="S747" s="213"/>
      <c r="T747" s="213"/>
      <c r="U747" s="213"/>
    </row>
    <row r="748" spans="3:21" x14ac:dyDescent="0.25">
      <c r="C748" s="213"/>
      <c r="D748" s="213"/>
      <c r="E748" s="213"/>
      <c r="F748" s="213"/>
      <c r="G748" s="213"/>
      <c r="H748" s="213"/>
      <c r="I748" s="213"/>
      <c r="J748" s="213"/>
      <c r="K748" s="213"/>
      <c r="L748" s="213"/>
      <c r="M748" s="213"/>
      <c r="N748" s="213"/>
      <c r="O748" s="213"/>
      <c r="P748" s="213"/>
      <c r="Q748" s="213"/>
      <c r="R748" s="213"/>
      <c r="S748" s="213"/>
      <c r="T748" s="213"/>
      <c r="U748" s="213"/>
    </row>
    <row r="749" spans="3:21" x14ac:dyDescent="0.25">
      <c r="C749" s="213"/>
      <c r="D749" s="213"/>
      <c r="E749" s="213"/>
      <c r="F749" s="213"/>
      <c r="G749" s="213"/>
      <c r="H749" s="213"/>
      <c r="I749" s="213"/>
      <c r="J749" s="213"/>
      <c r="K749" s="213"/>
      <c r="L749" s="213"/>
      <c r="M749" s="213"/>
      <c r="N749" s="213"/>
      <c r="O749" s="213"/>
      <c r="P749" s="213"/>
      <c r="Q749" s="213"/>
      <c r="R749" s="213"/>
      <c r="S749" s="213"/>
      <c r="T749" s="213"/>
      <c r="U749" s="213"/>
    </row>
    <row r="750" spans="3:21" x14ac:dyDescent="0.25">
      <c r="C750" s="213"/>
      <c r="D750" s="213"/>
      <c r="E750" s="213"/>
      <c r="F750" s="213"/>
      <c r="G750" s="213"/>
      <c r="H750" s="213"/>
      <c r="I750" s="213"/>
      <c r="J750" s="213"/>
      <c r="K750" s="213"/>
      <c r="L750" s="213"/>
      <c r="M750" s="213"/>
      <c r="N750" s="213"/>
      <c r="O750" s="213"/>
      <c r="P750" s="213"/>
      <c r="Q750" s="213"/>
      <c r="R750" s="213"/>
      <c r="S750" s="213"/>
      <c r="T750" s="213"/>
      <c r="U750" s="213"/>
    </row>
    <row r="751" spans="3:21" x14ac:dyDescent="0.25">
      <c r="C751" s="213"/>
      <c r="D751" s="213"/>
      <c r="E751" s="213"/>
      <c r="F751" s="213"/>
      <c r="G751" s="213"/>
      <c r="H751" s="213"/>
      <c r="I751" s="213"/>
      <c r="J751" s="213"/>
      <c r="K751" s="213"/>
      <c r="L751" s="213"/>
      <c r="M751" s="213"/>
      <c r="N751" s="213"/>
      <c r="O751" s="213"/>
      <c r="P751" s="213"/>
      <c r="Q751" s="213"/>
      <c r="R751" s="213"/>
      <c r="S751" s="213"/>
      <c r="T751" s="213"/>
      <c r="U751" s="213"/>
    </row>
    <row r="752" spans="3:21" x14ac:dyDescent="0.25">
      <c r="C752" s="213"/>
      <c r="D752" s="213"/>
      <c r="E752" s="213"/>
      <c r="F752" s="213"/>
      <c r="G752" s="213"/>
      <c r="H752" s="213"/>
      <c r="I752" s="213"/>
      <c r="J752" s="213"/>
      <c r="K752" s="213"/>
      <c r="L752" s="213"/>
      <c r="M752" s="213"/>
      <c r="N752" s="213"/>
      <c r="O752" s="213"/>
      <c r="P752" s="213"/>
      <c r="Q752" s="213"/>
      <c r="R752" s="213"/>
      <c r="S752" s="213"/>
      <c r="T752" s="213"/>
      <c r="U752" s="213"/>
    </row>
    <row r="753" spans="3:21" x14ac:dyDescent="0.25">
      <c r="C753" s="213"/>
      <c r="D753" s="213"/>
      <c r="E753" s="213"/>
      <c r="F753" s="213"/>
      <c r="G753" s="213"/>
      <c r="H753" s="213"/>
      <c r="I753" s="213"/>
      <c r="J753" s="213"/>
      <c r="K753" s="213"/>
      <c r="L753" s="213"/>
      <c r="M753" s="213"/>
      <c r="N753" s="213"/>
      <c r="O753" s="213"/>
      <c r="P753" s="213"/>
      <c r="Q753" s="213"/>
      <c r="R753" s="213"/>
      <c r="S753" s="213"/>
      <c r="T753" s="213"/>
      <c r="U753" s="213"/>
    </row>
    <row r="754" spans="3:21" x14ac:dyDescent="0.25">
      <c r="C754" s="213"/>
      <c r="D754" s="213"/>
      <c r="E754" s="213"/>
      <c r="F754" s="213"/>
      <c r="G754" s="213"/>
      <c r="H754" s="213"/>
      <c r="I754" s="213"/>
      <c r="J754" s="213"/>
      <c r="K754" s="213"/>
      <c r="L754" s="213"/>
      <c r="M754" s="213"/>
      <c r="N754" s="213"/>
      <c r="O754" s="213"/>
      <c r="P754" s="213"/>
      <c r="Q754" s="213"/>
      <c r="R754" s="213"/>
      <c r="S754" s="213"/>
      <c r="T754" s="213"/>
      <c r="U754" s="213"/>
    </row>
    <row r="755" spans="3:21" x14ac:dyDescent="0.25">
      <c r="C755" s="213"/>
      <c r="D755" s="213"/>
      <c r="E755" s="213"/>
      <c r="F755" s="213"/>
      <c r="G755" s="213"/>
      <c r="H755" s="213"/>
      <c r="I755" s="213"/>
      <c r="J755" s="213"/>
      <c r="K755" s="213"/>
      <c r="L755" s="213"/>
      <c r="M755" s="213"/>
      <c r="N755" s="213"/>
      <c r="O755" s="213"/>
      <c r="P755" s="213"/>
      <c r="Q755" s="213"/>
      <c r="R755" s="213"/>
      <c r="S755" s="213"/>
      <c r="T755" s="213"/>
      <c r="U755" s="213"/>
    </row>
    <row r="756" spans="3:21" x14ac:dyDescent="0.25">
      <c r="C756" s="213"/>
      <c r="D756" s="213"/>
      <c r="E756" s="213"/>
      <c r="F756" s="213"/>
      <c r="G756" s="213"/>
      <c r="H756" s="213"/>
      <c r="I756" s="213"/>
      <c r="J756" s="213"/>
      <c r="K756" s="213"/>
      <c r="L756" s="213"/>
      <c r="M756" s="213"/>
      <c r="N756" s="213"/>
      <c r="O756" s="213"/>
      <c r="P756" s="213"/>
      <c r="Q756" s="213"/>
      <c r="R756" s="213"/>
      <c r="S756" s="213"/>
      <c r="T756" s="213"/>
      <c r="U756" s="213"/>
    </row>
    <row r="757" spans="3:21" x14ac:dyDescent="0.25">
      <c r="C757" s="213"/>
      <c r="D757" s="213"/>
      <c r="E757" s="213"/>
      <c r="F757" s="213"/>
      <c r="G757" s="213"/>
      <c r="H757" s="213"/>
      <c r="I757" s="213"/>
      <c r="J757" s="213"/>
      <c r="K757" s="213"/>
      <c r="L757" s="213"/>
      <c r="M757" s="213"/>
      <c r="N757" s="213"/>
      <c r="O757" s="213"/>
      <c r="P757" s="213"/>
      <c r="Q757" s="213"/>
      <c r="R757" s="213"/>
      <c r="S757" s="213"/>
      <c r="T757" s="213"/>
      <c r="U757" s="213"/>
    </row>
    <row r="758" spans="3:21" x14ac:dyDescent="0.25">
      <c r="C758" s="213"/>
      <c r="D758" s="213"/>
      <c r="E758" s="213"/>
      <c r="F758" s="213"/>
      <c r="G758" s="213"/>
      <c r="H758" s="213"/>
      <c r="I758" s="213"/>
      <c r="J758" s="213"/>
      <c r="K758" s="213"/>
      <c r="L758" s="213"/>
      <c r="M758" s="213"/>
      <c r="N758" s="213"/>
      <c r="O758" s="213"/>
      <c r="P758" s="213"/>
      <c r="Q758" s="213"/>
      <c r="R758" s="213"/>
      <c r="S758" s="213"/>
      <c r="T758" s="213"/>
      <c r="U758" s="213"/>
    </row>
    <row r="759" spans="3:21" x14ac:dyDescent="0.25">
      <c r="C759" s="213"/>
      <c r="D759" s="213"/>
      <c r="E759" s="213"/>
      <c r="F759" s="213"/>
      <c r="G759" s="213"/>
      <c r="H759" s="213"/>
      <c r="I759" s="213"/>
      <c r="J759" s="213"/>
      <c r="K759" s="213"/>
      <c r="L759" s="213"/>
      <c r="M759" s="213"/>
      <c r="N759" s="213"/>
      <c r="O759" s="213"/>
      <c r="P759" s="213"/>
      <c r="Q759" s="213"/>
      <c r="R759" s="213"/>
      <c r="S759" s="213"/>
      <c r="T759" s="213"/>
      <c r="U759" s="213"/>
    </row>
    <row r="760" spans="3:21" x14ac:dyDescent="0.25">
      <c r="C760" s="213"/>
      <c r="D760" s="213"/>
      <c r="E760" s="213"/>
      <c r="F760" s="213"/>
      <c r="G760" s="213"/>
      <c r="H760" s="213"/>
      <c r="I760" s="213"/>
      <c r="J760" s="213"/>
      <c r="K760" s="213"/>
      <c r="L760" s="213"/>
      <c r="M760" s="213"/>
      <c r="N760" s="213"/>
      <c r="O760" s="213"/>
      <c r="P760" s="213"/>
      <c r="Q760" s="213"/>
      <c r="R760" s="213"/>
      <c r="S760" s="213"/>
      <c r="T760" s="213"/>
      <c r="U760" s="213"/>
    </row>
    <row r="761" spans="3:21" x14ac:dyDescent="0.25">
      <c r="C761" s="213"/>
      <c r="D761" s="213"/>
      <c r="E761" s="213"/>
      <c r="F761" s="213"/>
      <c r="G761" s="213"/>
      <c r="H761" s="213"/>
      <c r="I761" s="213"/>
      <c r="J761" s="213"/>
      <c r="K761" s="213"/>
      <c r="L761" s="213"/>
      <c r="M761" s="213"/>
      <c r="N761" s="213"/>
      <c r="O761" s="213"/>
      <c r="P761" s="213"/>
      <c r="Q761" s="213"/>
      <c r="R761" s="213"/>
      <c r="S761" s="213"/>
      <c r="T761" s="213"/>
      <c r="U761" s="213"/>
    </row>
  </sheetData>
  <sheetProtection algorithmName="SHA-512" hashValue="ooxcy2Qxoz67YC5e71e+rr43p9vTr383e5nX5Sk0OKbTLUpIYe2XewXRhzwVLCkgG61j0Lu48X5zzguGem5QeQ==" saltValue="FhpCukMLBfr1lVXU9XOG8w==" spinCount="100000" sheet="1" objects="1" scenarios="1"/>
  <mergeCells count="29">
    <mergeCell ref="P106:Q106"/>
    <mergeCell ref="R107:S107"/>
    <mergeCell ref="H124:J124"/>
    <mergeCell ref="K124:L124"/>
    <mergeCell ref="K125:L125"/>
    <mergeCell ref="E47:H47"/>
    <mergeCell ref="E48:H48"/>
    <mergeCell ref="E37:H37"/>
    <mergeCell ref="E38:H38"/>
    <mergeCell ref="E39:H39"/>
    <mergeCell ref="E40:H40"/>
    <mergeCell ref="E45:H45"/>
    <mergeCell ref="E46:H46"/>
    <mergeCell ref="J79:K79"/>
    <mergeCell ref="J80:K80"/>
    <mergeCell ref="H125:J125"/>
    <mergeCell ref="F1:I1"/>
    <mergeCell ref="J1:J2"/>
    <mergeCell ref="K1:L2"/>
    <mergeCell ref="F2:I2"/>
    <mergeCell ref="E8:G8"/>
    <mergeCell ref="H8:I8"/>
    <mergeCell ref="K8:L8"/>
    <mergeCell ref="K9:L9"/>
    <mergeCell ref="E11:F11"/>
    <mergeCell ref="H11:I11"/>
    <mergeCell ref="K11:L11"/>
    <mergeCell ref="E35:H35"/>
    <mergeCell ref="E36:H36"/>
  </mergeCells>
  <dataValidations count="1">
    <dataValidation type="list" allowBlank="1" showInputMessage="1" showErrorMessage="1" sqref="L111">
      <formula1>Schachtmaße__mm</formula1>
    </dataValidation>
  </dataValidations>
  <pageMargins left="0.70866141732283472" right="0.70866141732283472" top="0.78740157480314965" bottom="0.78740157480314965" header="0.31496062992125984" footer="0.31496062992125984"/>
  <pageSetup paperSize="9" scale="68" orientation="portrait" r:id="rId1"/>
  <rowBreaks count="1" manualBreakCount="1">
    <brk id="121" min="4" max="11" man="1"/>
  </rowBreaks>
  <ignoredErrors>
    <ignoredError sqref="L104 L106 J1" unlockedFormula="1"/>
  </ignoredError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'4'!$C$124:$C$130</xm:f>
          </x14:formula1>
          <xm:sqref>H124:J124</xm:sqref>
        </x14:dataValidation>
        <x14:dataValidation type="list" allowBlank="1" showInputMessage="1" showErrorMessage="1">
          <x14:formula1>
            <xm:f>'4'!$C$124:$C$130</xm:f>
          </x14:formula1>
          <xm:sqref>E8:G8</xm:sqref>
        </x14:dataValidation>
        <x14:dataValidation type="list" allowBlank="1" showInputMessage="1" showErrorMessage="1">
          <x14:formula1>
            <xm:f>'4'!$C$134:$C$147</xm:f>
          </x14:formula1>
          <xm:sqref>H8:H9 K124:L124</xm:sqref>
        </x14:dataValidation>
        <x14:dataValidation type="list" allowBlank="1" showInputMessage="1" showErrorMessage="1">
          <x14:formula1>
            <xm:f>'C:\Users\stibchr\Desktop\[2023-04-17-Entwässerung-kompl.xlsx]Daten-Druckv.'!#REF!</xm:f>
          </x14:formula1>
          <xm:sqref>E9</xm:sqref>
        </x14:dataValidation>
        <x14:dataValidation type="list" allowBlank="1" showInputMessage="1" showErrorMessage="1">
          <x14:formula1>
            <xm:f>'8'!$C$18:$C$24</xm:f>
          </x14:formula1>
          <xm:sqref>L88</xm:sqref>
        </x14:dataValidation>
        <x14:dataValidation type="list" allowBlank="1" showInputMessage="1" showErrorMessage="1">
          <x14:formula1>
            <xm:f>'8'!$C$5:$C$6</xm:f>
          </x14:formula1>
          <xm:sqref>L75</xm:sqref>
        </x14:dataValidation>
        <x14:dataValidation type="list" allowBlank="1" showInputMessage="1" showErrorMessage="1">
          <x14:formula1>
            <xm:f>'8'!$C$28:$C$29</xm:f>
          </x14:formula1>
          <xm:sqref>L76:L77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86"/>
  <sheetViews>
    <sheetView zoomScale="98" zoomScaleNormal="98" workbookViewId="0">
      <selection activeCell="R10" sqref="R10"/>
    </sheetView>
  </sheetViews>
  <sheetFormatPr baseColWidth="10" defaultColWidth="11.42578125" defaultRowHeight="15" x14ac:dyDescent="0.25"/>
  <cols>
    <col min="2" max="2" width="7.140625" customWidth="1"/>
    <col min="3" max="3" width="41.7109375" customWidth="1"/>
    <col min="5" max="5" width="15.85546875" customWidth="1"/>
    <col min="7" max="7" width="19.140625" customWidth="1"/>
    <col min="8" max="8" width="18.28515625" customWidth="1"/>
    <col min="10" max="10" width="25.7109375" customWidth="1"/>
    <col min="12" max="12" width="18.140625" customWidth="1"/>
    <col min="13" max="13" width="15" customWidth="1"/>
    <col min="15" max="15" width="10.42578125" customWidth="1"/>
    <col min="16" max="16" width="15.28515625" customWidth="1"/>
  </cols>
  <sheetData>
    <row r="2" spans="3:17" ht="75" x14ac:dyDescent="0.25">
      <c r="C2" s="4" t="s">
        <v>27</v>
      </c>
      <c r="D2" s="3" t="s">
        <v>520</v>
      </c>
      <c r="E2" s="3" t="s">
        <v>521</v>
      </c>
      <c r="F2" s="3" t="s">
        <v>522</v>
      </c>
      <c r="G2" s="43" t="s">
        <v>523</v>
      </c>
      <c r="H2" s="43" t="s">
        <v>524</v>
      </c>
      <c r="I2" s="43" t="s">
        <v>525</v>
      </c>
      <c r="J2" s="43" t="s">
        <v>526</v>
      </c>
      <c r="K2" s="43" t="s">
        <v>527</v>
      </c>
      <c r="L2" s="43" t="s">
        <v>529</v>
      </c>
      <c r="M2" s="43" t="s">
        <v>528</v>
      </c>
      <c r="N2" s="3" t="s">
        <v>243</v>
      </c>
      <c r="O2" s="43" t="s">
        <v>530</v>
      </c>
      <c r="P2" s="43" t="s">
        <v>531</v>
      </c>
      <c r="Q2" s="43" t="s">
        <v>532</v>
      </c>
    </row>
    <row r="3" spans="3:17" x14ac:dyDescent="0.25">
      <c r="C3" s="5" t="s">
        <v>498</v>
      </c>
      <c r="D3" s="4" t="s">
        <v>1</v>
      </c>
      <c r="E3" s="4" t="s">
        <v>2</v>
      </c>
      <c r="F3" s="4">
        <v>16</v>
      </c>
      <c r="G3" s="4">
        <v>1.2</v>
      </c>
      <c r="H3" s="4">
        <v>13.6</v>
      </c>
      <c r="I3" s="6">
        <f t="shared" ref="I3:I66" si="0">0.785*((H3/1000)^2)*1000</f>
        <v>0.14519359999999998</v>
      </c>
      <c r="J3" s="4">
        <v>2E-3</v>
      </c>
      <c r="K3" s="4">
        <f>M3/H3</f>
        <v>1.8382352941176471E-2</v>
      </c>
      <c r="L3" s="4">
        <f>(0.785*((H3/1000)^2))</f>
        <v>1.4519359999999999E-4</v>
      </c>
      <c r="M3" s="4">
        <v>0.25</v>
      </c>
      <c r="N3" s="4">
        <f>Tabelle1[[#This Row],[Pipe roughness coefficient k]]/Tabelle1[[#This Row],[Inside diameter '[mm']]]</f>
        <v>1.4705882352941178E-4</v>
      </c>
      <c r="O3" s="4"/>
      <c r="P3" s="4"/>
      <c r="Q3" s="4"/>
    </row>
    <row r="4" spans="3:17" x14ac:dyDescent="0.25">
      <c r="C4" s="5" t="s">
        <v>498</v>
      </c>
      <c r="D4" s="4" t="s">
        <v>3</v>
      </c>
      <c r="E4" s="4" t="s">
        <v>2</v>
      </c>
      <c r="F4" s="4">
        <v>20</v>
      </c>
      <c r="G4" s="4">
        <v>1.5</v>
      </c>
      <c r="H4" s="4">
        <v>17</v>
      </c>
      <c r="I4" s="6">
        <f t="shared" si="0"/>
        <v>0.22686500000000004</v>
      </c>
      <c r="J4" s="4">
        <v>2E-3</v>
      </c>
      <c r="K4" s="4">
        <f t="shared" ref="K4:K59" si="1">M4/H4</f>
        <v>1.4705882352941176E-2</v>
      </c>
      <c r="L4" s="4">
        <f t="shared" ref="L4:L67" si="2">(0.785*((H4/1000)^2))</f>
        <v>2.2686500000000003E-4</v>
      </c>
      <c r="M4" s="4">
        <v>0.25</v>
      </c>
      <c r="N4" s="4">
        <f>Tabelle1[[#This Row],[Pipe roughness coefficient k]]/Tabelle1[[#This Row],[Inside diameter '[mm']]]</f>
        <v>1.1764705882352942E-4</v>
      </c>
      <c r="O4" s="4">
        <v>54</v>
      </c>
      <c r="P4" s="4">
        <f>'7'!P9</f>
        <v>260</v>
      </c>
      <c r="Q4" s="4">
        <f>Tabelle1[[#This Row],[Overall length of fittings gate valve &amp; non-return flap '[mm']]]+Tabelle1[[#This Row],[Height of bend 3*D '[mm']]]</f>
        <v>314</v>
      </c>
    </row>
    <row r="5" spans="3:17" x14ac:dyDescent="0.25">
      <c r="C5" s="5" t="s">
        <v>498</v>
      </c>
      <c r="D5" s="4" t="s">
        <v>4</v>
      </c>
      <c r="E5" s="4" t="s">
        <v>2</v>
      </c>
      <c r="F5" s="4">
        <v>25</v>
      </c>
      <c r="G5" s="4">
        <v>1.9</v>
      </c>
      <c r="H5" s="4">
        <v>21.2</v>
      </c>
      <c r="I5" s="6">
        <f t="shared" si="0"/>
        <v>0.35281040000000002</v>
      </c>
      <c r="J5" s="4">
        <v>2E-3</v>
      </c>
      <c r="K5" s="4">
        <f t="shared" si="1"/>
        <v>1.179245283018868E-2</v>
      </c>
      <c r="L5" s="4">
        <f t="shared" si="2"/>
        <v>3.5281040000000003E-4</v>
      </c>
      <c r="M5" s="4">
        <v>0.25</v>
      </c>
      <c r="N5" s="4">
        <f>Tabelle1[[#This Row],[Pipe roughness coefficient k]]/Tabelle1[[#This Row],[Inside diameter '[mm']]]</f>
        <v>9.4339622641509443E-5</v>
      </c>
      <c r="O5" s="4">
        <v>68</v>
      </c>
      <c r="P5" s="4">
        <f>'7'!P10</f>
        <v>300</v>
      </c>
      <c r="Q5" s="4">
        <f>Tabelle1[[#This Row],[Overall length of fittings gate valve &amp; non-return flap '[mm']]]+Tabelle1[[#This Row],[Height of bend 3*D '[mm']]]</f>
        <v>368</v>
      </c>
    </row>
    <row r="6" spans="3:17" x14ac:dyDescent="0.25">
      <c r="C6" s="5" t="s">
        <v>498</v>
      </c>
      <c r="D6" s="4" t="s">
        <v>5</v>
      </c>
      <c r="E6" s="4" t="s">
        <v>2</v>
      </c>
      <c r="F6" s="4">
        <v>32</v>
      </c>
      <c r="G6" s="4">
        <v>2.4</v>
      </c>
      <c r="H6" s="4">
        <v>27.2</v>
      </c>
      <c r="I6" s="6">
        <f t="shared" si="0"/>
        <v>0.58077439999999991</v>
      </c>
      <c r="J6" s="4">
        <v>2E-3</v>
      </c>
      <c r="K6" s="4">
        <f t="shared" si="1"/>
        <v>9.1911764705882356E-3</v>
      </c>
      <c r="L6" s="4">
        <f t="shared" si="2"/>
        <v>5.8077439999999997E-4</v>
      </c>
      <c r="M6" s="4">
        <v>0.25</v>
      </c>
      <c r="N6" s="4">
        <f>Tabelle1[[#This Row],[Pipe roughness coefficient k]]/Tabelle1[[#This Row],[Inside diameter '[mm']]]</f>
        <v>7.3529411764705889E-5</v>
      </c>
      <c r="O6" s="4">
        <v>84.5</v>
      </c>
      <c r="P6" s="4">
        <f>'7'!P11</f>
        <v>320</v>
      </c>
      <c r="Q6" s="4">
        <f>Tabelle1[[#This Row],[Overall length of fittings gate valve &amp; non-return flap '[mm']]]+Tabelle1[[#This Row],[Height of bend 3*D '[mm']]]</f>
        <v>404.5</v>
      </c>
    </row>
    <row r="7" spans="3:17" x14ac:dyDescent="0.25">
      <c r="C7" s="5" t="s">
        <v>498</v>
      </c>
      <c r="D7" s="4" t="s">
        <v>6</v>
      </c>
      <c r="E7" s="4" t="s">
        <v>2</v>
      </c>
      <c r="F7" s="4">
        <v>40</v>
      </c>
      <c r="G7" s="4">
        <v>3</v>
      </c>
      <c r="H7" s="4">
        <v>34</v>
      </c>
      <c r="I7" s="6">
        <f t="shared" si="0"/>
        <v>0.90746000000000016</v>
      </c>
      <c r="J7" s="4">
        <v>2E-3</v>
      </c>
      <c r="K7" s="4">
        <f t="shared" si="1"/>
        <v>7.3529411764705881E-3</v>
      </c>
      <c r="L7" s="4">
        <f t="shared" si="2"/>
        <v>9.0746000000000012E-4</v>
      </c>
      <c r="M7" s="4">
        <v>0.25</v>
      </c>
      <c r="N7" s="4">
        <f>Tabelle1[[#This Row],[Pipe roughness coefficient k]]/Tabelle1[[#This Row],[Inside diameter '[mm']]]</f>
        <v>5.8823529411764708E-5</v>
      </c>
      <c r="O7" s="4">
        <v>105.5</v>
      </c>
      <c r="P7" s="4">
        <f>'7'!P12</f>
        <v>360</v>
      </c>
      <c r="Q7" s="4">
        <f>Tabelle1[[#This Row],[Overall length of fittings gate valve &amp; non-return flap '[mm']]]+Tabelle1[[#This Row],[Height of bend 3*D '[mm']]]</f>
        <v>465.5</v>
      </c>
    </row>
    <row r="8" spans="3:17" x14ac:dyDescent="0.25">
      <c r="C8" s="5" t="s">
        <v>498</v>
      </c>
      <c r="D8" s="4" t="s">
        <v>7</v>
      </c>
      <c r="E8" s="4" t="s">
        <v>2</v>
      </c>
      <c r="F8" s="4">
        <v>50</v>
      </c>
      <c r="G8" s="4">
        <v>3.7</v>
      </c>
      <c r="H8" s="4">
        <v>42.6</v>
      </c>
      <c r="I8" s="6">
        <f t="shared" si="0"/>
        <v>1.4245866</v>
      </c>
      <c r="J8" s="4">
        <v>2E-3</v>
      </c>
      <c r="K8" s="4">
        <f t="shared" si="1"/>
        <v>5.8685446009389668E-3</v>
      </c>
      <c r="L8" s="4">
        <f t="shared" si="2"/>
        <v>1.4245866E-3</v>
      </c>
      <c r="M8" s="4">
        <v>0.25</v>
      </c>
      <c r="N8" s="4">
        <f>Tabelle1[[#This Row],[Pipe roughness coefficient k]]/Tabelle1[[#This Row],[Inside diameter '[mm']]]</f>
        <v>4.6948356807511737E-5</v>
      </c>
      <c r="O8" s="4">
        <v>130.5</v>
      </c>
      <c r="P8" s="4">
        <f>'7'!P13</f>
        <v>400</v>
      </c>
      <c r="Q8" s="4">
        <f>Tabelle1[[#This Row],[Overall length of fittings gate valve &amp; non-return flap '[mm']]]+Tabelle1[[#This Row],[Height of bend 3*D '[mm']]]</f>
        <v>530.5</v>
      </c>
    </row>
    <row r="9" spans="3:17" x14ac:dyDescent="0.25">
      <c r="C9" s="5" t="s">
        <v>498</v>
      </c>
      <c r="D9" s="4" t="s">
        <v>8</v>
      </c>
      <c r="E9" s="4" t="s">
        <v>2</v>
      </c>
      <c r="F9" s="4">
        <v>63</v>
      </c>
      <c r="G9" s="4">
        <v>4.7</v>
      </c>
      <c r="H9" s="4">
        <v>53.6</v>
      </c>
      <c r="I9" s="6">
        <f t="shared" si="0"/>
        <v>2.2552736000000007</v>
      </c>
      <c r="J9" s="4">
        <v>2E-3</v>
      </c>
      <c r="K9" s="4">
        <f t="shared" si="1"/>
        <v>4.6641791044776115E-3</v>
      </c>
      <c r="L9" s="4">
        <f t="shared" si="2"/>
        <v>2.2552736000000006E-3</v>
      </c>
      <c r="M9" s="4">
        <v>0.25</v>
      </c>
      <c r="N9" s="4">
        <f>Tabelle1[[#This Row],[Pipe roughness coefficient k]]/Tabelle1[[#This Row],[Inside diameter '[mm']]]</f>
        <v>3.7313432835820896E-5</v>
      </c>
      <c r="O9" s="4">
        <v>163.5</v>
      </c>
      <c r="P9" s="4">
        <f>'7'!P14</f>
        <v>460</v>
      </c>
      <c r="Q9" s="4">
        <f>Tabelle1[[#This Row],[Overall length of fittings gate valve &amp; non-return flap '[mm']]]+Tabelle1[[#This Row],[Height of bend 3*D '[mm']]]</f>
        <v>623.5</v>
      </c>
    </row>
    <row r="10" spans="3:17" x14ac:dyDescent="0.25">
      <c r="C10" s="5" t="s">
        <v>498</v>
      </c>
      <c r="D10" s="4" t="s">
        <v>9</v>
      </c>
      <c r="E10" s="4" t="s">
        <v>2</v>
      </c>
      <c r="F10" s="4">
        <v>75</v>
      </c>
      <c r="G10" s="4">
        <v>5.6</v>
      </c>
      <c r="H10" s="4">
        <v>63.8</v>
      </c>
      <c r="I10" s="6">
        <f t="shared" si="0"/>
        <v>3.1952954</v>
      </c>
      <c r="J10" s="4">
        <v>2E-3</v>
      </c>
      <c r="K10" s="4">
        <f t="shared" si="1"/>
        <v>3.9184952978056431E-3</v>
      </c>
      <c r="L10" s="4">
        <f t="shared" si="2"/>
        <v>3.1952954E-3</v>
      </c>
      <c r="M10" s="4">
        <v>0.25</v>
      </c>
      <c r="N10" s="4">
        <f>Tabelle1[[#This Row],[Pipe roughness coefficient k]]/Tabelle1[[#This Row],[Inside diameter '[mm']]]</f>
        <v>3.1347962382445142E-5</v>
      </c>
      <c r="O10" s="4">
        <v>197.5</v>
      </c>
      <c r="P10" s="4">
        <f>'7'!P15</f>
        <v>580</v>
      </c>
      <c r="Q10" s="4">
        <f>Tabelle1[[#This Row],[Overall length of fittings gate valve &amp; non-return flap '[mm']]]+Tabelle1[[#This Row],[Height of bend 3*D '[mm']]]</f>
        <v>777.5</v>
      </c>
    </row>
    <row r="11" spans="3:17" x14ac:dyDescent="0.25">
      <c r="C11" s="5" t="s">
        <v>498</v>
      </c>
      <c r="D11" s="4" t="s">
        <v>10</v>
      </c>
      <c r="E11" s="4" t="s">
        <v>2</v>
      </c>
      <c r="F11" s="4">
        <v>90</v>
      </c>
      <c r="G11" s="4">
        <v>6.7</v>
      </c>
      <c r="H11" s="4">
        <v>76.599999999999994</v>
      </c>
      <c r="I11" s="6">
        <f t="shared" si="0"/>
        <v>4.6060345999999983</v>
      </c>
      <c r="J11" s="4">
        <v>2E-3</v>
      </c>
      <c r="K11" s="4">
        <f t="shared" si="1"/>
        <v>3.2637075718015668E-3</v>
      </c>
      <c r="L11" s="4">
        <f t="shared" si="2"/>
        <v>4.6060345999999986E-3</v>
      </c>
      <c r="M11" s="4">
        <v>0.25</v>
      </c>
      <c r="N11" s="4">
        <f>Tabelle1[[#This Row],[Pipe roughness coefficient k]]/Tabelle1[[#This Row],[Inside diameter '[mm']]]</f>
        <v>2.6109660574412536E-5</v>
      </c>
      <c r="O11" s="4">
        <v>236.5</v>
      </c>
      <c r="P11" s="4">
        <f>'7'!P16</f>
        <v>620</v>
      </c>
      <c r="Q11" s="4">
        <f>Tabelle1[[#This Row],[Overall length of fittings gate valve &amp; non-return flap '[mm']]]+Tabelle1[[#This Row],[Height of bend 3*D '[mm']]]</f>
        <v>856.5</v>
      </c>
    </row>
    <row r="12" spans="3:17" x14ac:dyDescent="0.25">
      <c r="C12" s="5" t="s">
        <v>498</v>
      </c>
      <c r="D12" s="4" t="s">
        <v>11</v>
      </c>
      <c r="E12" s="4" t="s">
        <v>2</v>
      </c>
      <c r="F12" s="4">
        <v>110</v>
      </c>
      <c r="G12" s="4">
        <v>8.1999999999999993</v>
      </c>
      <c r="H12" s="4">
        <v>93.6</v>
      </c>
      <c r="I12" s="6">
        <f t="shared" si="0"/>
        <v>6.8773535999999984</v>
      </c>
      <c r="J12" s="4">
        <v>2E-3</v>
      </c>
      <c r="K12" s="4">
        <f t="shared" si="1"/>
        <v>2.670940170940171E-3</v>
      </c>
      <c r="L12" s="4">
        <f t="shared" si="2"/>
        <v>6.8773535999999986E-3</v>
      </c>
      <c r="M12" s="4">
        <v>0.25</v>
      </c>
      <c r="N12" s="4">
        <f>Tabelle1[[#This Row],[Pipe roughness coefficient k]]/Tabelle1[[#This Row],[Inside diameter '[mm']]]</f>
        <v>2.1367521367521371E-5</v>
      </c>
      <c r="O12" s="4">
        <v>288.5</v>
      </c>
      <c r="P12" s="4">
        <f>'7'!P17</f>
        <v>700</v>
      </c>
      <c r="Q12" s="4">
        <f>Tabelle1[[#This Row],[Overall length of fittings gate valve &amp; non-return flap '[mm']]]+Tabelle1[[#This Row],[Height of bend 3*D '[mm']]]</f>
        <v>988.5</v>
      </c>
    </row>
    <row r="13" spans="3:17" x14ac:dyDescent="0.25">
      <c r="C13" s="5" t="s">
        <v>498</v>
      </c>
      <c r="D13" s="4" t="s">
        <v>12</v>
      </c>
      <c r="E13" s="4" t="s">
        <v>2</v>
      </c>
      <c r="F13" s="4">
        <v>140</v>
      </c>
      <c r="G13" s="4">
        <v>10.4</v>
      </c>
      <c r="H13" s="4">
        <v>119.2</v>
      </c>
      <c r="I13" s="6">
        <f t="shared" si="0"/>
        <v>11.153782400000001</v>
      </c>
      <c r="J13" s="4">
        <v>2E-3</v>
      </c>
      <c r="K13" s="4">
        <f t="shared" si="1"/>
        <v>2.0973154362416107E-3</v>
      </c>
      <c r="L13" s="4">
        <f t="shared" si="2"/>
        <v>1.1153782400000001E-2</v>
      </c>
      <c r="M13" s="4">
        <v>0.25</v>
      </c>
      <c r="N13" s="4">
        <f>Tabelle1[[#This Row],[Pipe roughness coefficient k]]/Tabelle1[[#This Row],[Inside diameter '[mm']]]</f>
        <v>1.6778523489932884E-5</v>
      </c>
      <c r="O13" s="4">
        <v>300</v>
      </c>
      <c r="P13" s="4">
        <f>'7'!P18</f>
        <v>800</v>
      </c>
      <c r="Q13" s="4">
        <f>Tabelle1[[#This Row],[Overall length of fittings gate valve &amp; non-return flap '[mm']]]+Tabelle1[[#This Row],[Height of bend 3*D '[mm']]]</f>
        <v>1100</v>
      </c>
    </row>
    <row r="14" spans="3:17" x14ac:dyDescent="0.25">
      <c r="C14" s="5" t="s">
        <v>498</v>
      </c>
      <c r="D14" s="4" t="s">
        <v>13</v>
      </c>
      <c r="E14" s="4" t="s">
        <v>2</v>
      </c>
      <c r="F14" s="4">
        <v>160</v>
      </c>
      <c r="G14" s="4">
        <v>11.9</v>
      </c>
      <c r="H14" s="4">
        <v>136.19999999999999</v>
      </c>
      <c r="I14" s="6">
        <f t="shared" si="0"/>
        <v>14.562095399999999</v>
      </c>
      <c r="J14" s="4">
        <v>2E-3</v>
      </c>
      <c r="K14" s="4">
        <f t="shared" si="1"/>
        <v>1.8355359765051397E-3</v>
      </c>
      <c r="L14" s="4">
        <f t="shared" si="2"/>
        <v>1.4562095399999999E-2</v>
      </c>
      <c r="M14" s="4">
        <v>0.25</v>
      </c>
      <c r="N14" s="4">
        <f>Tabelle1[[#This Row],[Pipe roughness coefficient k]]/Tabelle1[[#This Row],[Inside diameter '[mm']]]</f>
        <v>1.4684287812041117E-5</v>
      </c>
      <c r="O14" s="4">
        <v>301.05</v>
      </c>
      <c r="P14" s="4">
        <f>'7'!P19</f>
        <v>960</v>
      </c>
      <c r="Q14" s="4">
        <f>Tabelle1[[#This Row],[Overall length of fittings gate valve &amp; non-return flap '[mm']]]+Tabelle1[[#This Row],[Height of bend 3*D '[mm']]]</f>
        <v>1261.05</v>
      </c>
    </row>
    <row r="15" spans="3:17" x14ac:dyDescent="0.25">
      <c r="C15" s="5" t="s">
        <v>498</v>
      </c>
      <c r="D15" s="4" t="s">
        <v>14</v>
      </c>
      <c r="E15" s="4" t="s">
        <v>2</v>
      </c>
      <c r="F15" s="4">
        <v>200</v>
      </c>
      <c r="G15" s="4">
        <v>14.9</v>
      </c>
      <c r="H15" s="4">
        <v>170.2</v>
      </c>
      <c r="I15" s="6">
        <f t="shared" si="0"/>
        <v>22.7399114</v>
      </c>
      <c r="J15" s="4">
        <v>2E-3</v>
      </c>
      <c r="K15" s="4">
        <f t="shared" si="1"/>
        <v>1.4688601645123384E-3</v>
      </c>
      <c r="L15" s="4">
        <f t="shared" si="2"/>
        <v>2.27399114E-2</v>
      </c>
      <c r="M15" s="4">
        <v>0.25</v>
      </c>
      <c r="N15" s="4">
        <f>Tabelle1[[#This Row],[Pipe roughness coefficient k]]/Tabelle1[[#This Row],[Inside diameter '[mm']]]</f>
        <v>1.1750881316098709E-5</v>
      </c>
      <c r="O15" s="4"/>
      <c r="P15" s="4"/>
      <c r="Q15" s="4"/>
    </row>
    <row r="16" spans="3:17" x14ac:dyDescent="0.25">
      <c r="C16" s="5" t="s">
        <v>498</v>
      </c>
      <c r="D16" s="4" t="s">
        <v>15</v>
      </c>
      <c r="E16" s="4" t="s">
        <v>2</v>
      </c>
      <c r="F16" s="4">
        <v>250</v>
      </c>
      <c r="G16" s="4">
        <v>18.600000000000001</v>
      </c>
      <c r="H16" s="4">
        <v>212.8</v>
      </c>
      <c r="I16" s="6">
        <f t="shared" si="0"/>
        <v>35.547814400000007</v>
      </c>
      <c r="J16" s="4">
        <v>2E-3</v>
      </c>
      <c r="K16" s="4">
        <f t="shared" si="1"/>
        <v>1.1748120300751879E-3</v>
      </c>
      <c r="L16" s="4">
        <f t="shared" si="2"/>
        <v>3.5547814400000009E-2</v>
      </c>
      <c r="M16" s="4">
        <v>0.25</v>
      </c>
      <c r="N16" s="4">
        <f>Tabelle1[[#This Row],[Pipe roughness coefficient k]]/Tabelle1[[#This Row],[Inside diameter '[mm']]]</f>
        <v>9.3984962406015033E-6</v>
      </c>
      <c r="O16" s="4"/>
      <c r="P16" s="4"/>
      <c r="Q16" s="4"/>
    </row>
    <row r="17" spans="3:17" x14ac:dyDescent="0.25">
      <c r="C17" s="5" t="s">
        <v>498</v>
      </c>
      <c r="D17" s="4" t="s">
        <v>16</v>
      </c>
      <c r="E17" s="4" t="s">
        <v>2</v>
      </c>
      <c r="F17" s="4">
        <v>315</v>
      </c>
      <c r="G17" s="4">
        <v>23.4</v>
      </c>
      <c r="H17" s="4">
        <v>268.2</v>
      </c>
      <c r="I17" s="6">
        <f t="shared" si="0"/>
        <v>56.466023399999997</v>
      </c>
      <c r="J17" s="4">
        <v>2E-3</v>
      </c>
      <c r="K17" s="4">
        <f t="shared" si="1"/>
        <v>9.3214019388516034E-4</v>
      </c>
      <c r="L17" s="4">
        <f t="shared" si="2"/>
        <v>5.6466023399999996E-2</v>
      </c>
      <c r="M17" s="4">
        <v>0.25</v>
      </c>
      <c r="N17" s="4">
        <f>Tabelle1[[#This Row],[Pipe roughness coefficient k]]/Tabelle1[[#This Row],[Inside diameter '[mm']]]</f>
        <v>7.4571215510812831E-6</v>
      </c>
      <c r="O17" s="4"/>
      <c r="P17" s="4"/>
      <c r="Q17" s="4"/>
    </row>
    <row r="18" spans="3:17" x14ac:dyDescent="0.25">
      <c r="C18" s="5" t="s">
        <v>499</v>
      </c>
      <c r="D18" s="4" t="s">
        <v>1</v>
      </c>
      <c r="E18" s="4" t="s">
        <v>17</v>
      </c>
      <c r="F18" s="4">
        <v>16</v>
      </c>
      <c r="G18" s="4">
        <v>2.2000000000000002</v>
      </c>
      <c r="H18" s="4">
        <v>11.6</v>
      </c>
      <c r="I18" s="6">
        <f t="shared" si="0"/>
        <v>0.10562959999999999</v>
      </c>
      <c r="J18" s="4">
        <v>2E-3</v>
      </c>
      <c r="K18" s="4">
        <f t="shared" si="1"/>
        <v>2.1551724137931036E-2</v>
      </c>
      <c r="L18" s="4">
        <f t="shared" si="2"/>
        <v>1.0562959999999999E-4</v>
      </c>
      <c r="M18" s="4">
        <v>0.25</v>
      </c>
      <c r="N18" s="4">
        <f>Tabelle1[[#This Row],[Pipe roughness coefficient k]]/Tabelle1[[#This Row],[Inside diameter '[mm']]]</f>
        <v>1.7241379310344829E-4</v>
      </c>
      <c r="O18" s="4"/>
      <c r="P18" s="4"/>
      <c r="Q18" s="4"/>
    </row>
    <row r="19" spans="3:17" x14ac:dyDescent="0.25">
      <c r="C19" s="5" t="s">
        <v>499</v>
      </c>
      <c r="D19" s="4" t="s">
        <v>3</v>
      </c>
      <c r="E19" s="4" t="s">
        <v>17</v>
      </c>
      <c r="F19" s="4">
        <v>20</v>
      </c>
      <c r="G19" s="4">
        <v>2.8</v>
      </c>
      <c r="H19" s="4">
        <v>14.4</v>
      </c>
      <c r="I19" s="6">
        <f t="shared" si="0"/>
        <v>0.16277759999999999</v>
      </c>
      <c r="J19" s="4">
        <v>2E-3</v>
      </c>
      <c r="K19" s="4">
        <f t="shared" si="1"/>
        <v>1.7361111111111112E-2</v>
      </c>
      <c r="L19" s="4">
        <f t="shared" si="2"/>
        <v>1.627776E-4</v>
      </c>
      <c r="M19" s="4">
        <v>0.25</v>
      </c>
      <c r="N19" s="4">
        <f>Tabelle1[[#This Row],[Pipe roughness coefficient k]]/Tabelle1[[#This Row],[Inside diameter '[mm']]]</f>
        <v>1.3888888888888889E-4</v>
      </c>
      <c r="O19" s="4">
        <f>(Tabelle1[[#This Row],[Wall thickness '[mm']  ]]+(Tabelle1[[#This Row],[Inside diameter '[mm']]])*2)</f>
        <v>31.6</v>
      </c>
      <c r="P19" s="4">
        <f>'7'!P9</f>
        <v>260</v>
      </c>
      <c r="Q19" s="4">
        <f>Tabelle1[[#This Row],[Overall length of fittings gate valve &amp; non-return flap '[mm']]]+Tabelle1[[#This Row],[Height of bend 3*D '[mm']]]</f>
        <v>291.60000000000002</v>
      </c>
    </row>
    <row r="20" spans="3:17" x14ac:dyDescent="0.25">
      <c r="C20" s="5" t="s">
        <v>499</v>
      </c>
      <c r="D20" s="4" t="s">
        <v>4</v>
      </c>
      <c r="E20" s="4" t="s">
        <v>17</v>
      </c>
      <c r="F20" s="4">
        <v>32</v>
      </c>
      <c r="G20" s="4">
        <v>4.4000000000000004</v>
      </c>
      <c r="H20" s="4">
        <v>23.2</v>
      </c>
      <c r="I20" s="6">
        <f t="shared" si="0"/>
        <v>0.42251839999999996</v>
      </c>
      <c r="J20" s="4">
        <v>2E-3</v>
      </c>
      <c r="K20" s="4">
        <f t="shared" si="1"/>
        <v>1.0775862068965518E-2</v>
      </c>
      <c r="L20" s="4">
        <f t="shared" si="2"/>
        <v>4.2251839999999996E-4</v>
      </c>
      <c r="M20" s="4">
        <v>0.25</v>
      </c>
      <c r="N20" s="4">
        <f>Tabelle1[[#This Row],[Pipe roughness coefficient k]]/Tabelle1[[#This Row],[Inside diameter '[mm']]]</f>
        <v>8.6206896551724145E-5</v>
      </c>
      <c r="O20" s="4">
        <f>(Tabelle1[[#This Row],[Wall thickness '[mm']  ]]+(Tabelle1[[#This Row],[Inside diameter '[mm']]])*2)</f>
        <v>50.8</v>
      </c>
      <c r="P20" s="4">
        <f>'7'!P10</f>
        <v>300</v>
      </c>
      <c r="Q20" s="4">
        <f>Tabelle1[[#This Row],[Overall length of fittings gate valve &amp; non-return flap '[mm']]]+Tabelle1[[#This Row],[Height of bend 3*D '[mm']]]</f>
        <v>350.8</v>
      </c>
    </row>
    <row r="21" spans="3:17" x14ac:dyDescent="0.25">
      <c r="C21" s="5" t="s">
        <v>499</v>
      </c>
      <c r="D21" s="4" t="s">
        <v>6</v>
      </c>
      <c r="E21" s="4" t="s">
        <v>17</v>
      </c>
      <c r="F21" s="4">
        <v>50</v>
      </c>
      <c r="G21" s="4">
        <v>6.9</v>
      </c>
      <c r="H21" s="4">
        <v>36.200000000000003</v>
      </c>
      <c r="I21" s="6">
        <f t="shared" si="0"/>
        <v>1.0286954000000001</v>
      </c>
      <c r="J21" s="4">
        <v>2E-3</v>
      </c>
      <c r="K21" s="4">
        <f t="shared" si="1"/>
        <v>6.9060773480662981E-3</v>
      </c>
      <c r="L21" s="4">
        <f t="shared" si="2"/>
        <v>1.0286954000000002E-3</v>
      </c>
      <c r="M21" s="4">
        <v>0.25</v>
      </c>
      <c r="N21" s="4">
        <f>Tabelle1[[#This Row],[Pipe roughness coefficient k]]/Tabelle1[[#This Row],[Inside diameter '[mm']]]</f>
        <v>5.5248618784530387E-5</v>
      </c>
      <c r="O21" s="4">
        <f>(Tabelle1[[#This Row],[Wall thickness '[mm']  ]]+(Tabelle1[[#This Row],[Inside diameter '[mm']]])*2)</f>
        <v>79.300000000000011</v>
      </c>
      <c r="P21" s="54">
        <f>'7'!P12</f>
        <v>360</v>
      </c>
      <c r="Q21" s="4">
        <f>Tabelle1[[#This Row],[Overall length of fittings gate valve &amp; non-return flap '[mm']]]+Tabelle1[[#This Row],[Height of bend 3*D '[mm']]]</f>
        <v>439.3</v>
      </c>
    </row>
    <row r="22" spans="3:17" x14ac:dyDescent="0.25">
      <c r="C22" s="5" t="s">
        <v>499</v>
      </c>
      <c r="D22" s="4" t="s">
        <v>7</v>
      </c>
      <c r="E22" s="4" t="s">
        <v>17</v>
      </c>
      <c r="F22" s="4">
        <v>63</v>
      </c>
      <c r="G22" s="4">
        <v>8.6</v>
      </c>
      <c r="H22" s="4">
        <v>45.8</v>
      </c>
      <c r="I22" s="6">
        <f t="shared" si="0"/>
        <v>1.6466474000000002</v>
      </c>
      <c r="J22" s="4">
        <v>2E-3</v>
      </c>
      <c r="K22" s="4">
        <f t="shared" si="1"/>
        <v>5.4585152838427953E-3</v>
      </c>
      <c r="L22" s="4">
        <f t="shared" si="2"/>
        <v>1.6466474000000001E-3</v>
      </c>
      <c r="M22" s="4">
        <v>0.25</v>
      </c>
      <c r="N22" s="4">
        <f>Tabelle1[[#This Row],[Pipe roughness coefficient k]]/Tabelle1[[#This Row],[Inside diameter '[mm']]]</f>
        <v>4.3668122270742362E-5</v>
      </c>
      <c r="O22" s="4">
        <f>(Tabelle1[[#This Row],[Wall thickness '[mm']  ]]+(Tabelle1[[#This Row],[Inside diameter '[mm']]])*2)</f>
        <v>100.19999999999999</v>
      </c>
      <c r="P22" s="54">
        <f>'7'!P13</f>
        <v>400</v>
      </c>
      <c r="Q22" s="4">
        <f>Tabelle1[[#This Row],[Overall length of fittings gate valve &amp; non-return flap '[mm']]]+Tabelle1[[#This Row],[Height of bend 3*D '[mm']]]</f>
        <v>500.2</v>
      </c>
    </row>
    <row r="23" spans="3:17" x14ac:dyDescent="0.25">
      <c r="C23" s="5" t="s">
        <v>499</v>
      </c>
      <c r="D23" s="4" t="s">
        <v>8</v>
      </c>
      <c r="E23" s="4" t="s">
        <v>17</v>
      </c>
      <c r="F23" s="4">
        <v>75</v>
      </c>
      <c r="G23" s="4">
        <v>10.3</v>
      </c>
      <c r="H23" s="4">
        <v>54.4</v>
      </c>
      <c r="I23" s="6">
        <f t="shared" si="0"/>
        <v>2.3230975999999997</v>
      </c>
      <c r="J23" s="4">
        <v>2E-3</v>
      </c>
      <c r="K23" s="4">
        <f t="shared" si="1"/>
        <v>4.5955882352941178E-3</v>
      </c>
      <c r="L23" s="4">
        <f t="shared" si="2"/>
        <v>2.3230975999999999E-3</v>
      </c>
      <c r="M23" s="4">
        <v>0.25</v>
      </c>
      <c r="N23" s="4">
        <f>Tabelle1[[#This Row],[Pipe roughness coefficient k]]/Tabelle1[[#This Row],[Inside diameter '[mm']]]</f>
        <v>3.6764705882352945E-5</v>
      </c>
      <c r="O23" s="4">
        <f>(Tabelle1[[#This Row],[Wall thickness '[mm']  ]]+(Tabelle1[[#This Row],[Inside diameter '[mm']]])*2)</f>
        <v>119.1</v>
      </c>
      <c r="P23" s="54">
        <f>'7'!P14</f>
        <v>460</v>
      </c>
      <c r="Q23" s="4">
        <f>Tabelle1[[#This Row],[Overall length of fittings gate valve &amp; non-return flap '[mm']]]+Tabelle1[[#This Row],[Height of bend 3*D '[mm']]]</f>
        <v>579.1</v>
      </c>
    </row>
    <row r="24" spans="3:17" x14ac:dyDescent="0.25">
      <c r="C24" s="5" t="s">
        <v>499</v>
      </c>
      <c r="D24" s="4" t="s">
        <v>9</v>
      </c>
      <c r="E24" s="4" t="s">
        <v>17</v>
      </c>
      <c r="F24" s="4">
        <v>90</v>
      </c>
      <c r="G24" s="4">
        <v>12.3</v>
      </c>
      <c r="H24" s="4">
        <v>65.400000000000006</v>
      </c>
      <c r="I24" s="6">
        <f t="shared" si="0"/>
        <v>3.3575706000000003</v>
      </c>
      <c r="J24" s="4">
        <v>2E-3</v>
      </c>
      <c r="K24" s="4">
        <f t="shared" si="1"/>
        <v>3.8226299694189597E-3</v>
      </c>
      <c r="L24" s="4">
        <f t="shared" si="2"/>
        <v>3.3575706000000005E-3</v>
      </c>
      <c r="M24" s="4">
        <v>0.25</v>
      </c>
      <c r="N24" s="4">
        <f>Tabelle1[[#This Row],[Pipe roughness coefficient k]]/Tabelle1[[#This Row],[Inside diameter '[mm']]]</f>
        <v>3.0581039755351677E-5</v>
      </c>
      <c r="O24" s="4">
        <f>(Tabelle1[[#This Row],[Wall thickness '[mm']  ]]+(Tabelle1[[#This Row],[Inside diameter '[mm']]])*2)</f>
        <v>143.10000000000002</v>
      </c>
      <c r="P24" s="54">
        <f>'7'!P15</f>
        <v>580</v>
      </c>
      <c r="Q24" s="4">
        <f>Tabelle1[[#This Row],[Overall length of fittings gate valve &amp; non-return flap '[mm']]]+Tabelle1[[#This Row],[Height of bend 3*D '[mm']]]</f>
        <v>723.1</v>
      </c>
    </row>
    <row r="25" spans="3:17" x14ac:dyDescent="0.25">
      <c r="C25" s="5" t="s">
        <v>499</v>
      </c>
      <c r="D25" s="4" t="s">
        <v>10</v>
      </c>
      <c r="E25" s="4" t="s">
        <v>17</v>
      </c>
      <c r="F25" s="4">
        <v>110</v>
      </c>
      <c r="G25" s="4">
        <v>15.1</v>
      </c>
      <c r="H25" s="4">
        <v>79.8</v>
      </c>
      <c r="I25" s="6">
        <f t="shared" si="0"/>
        <v>4.998911399999999</v>
      </c>
      <c r="J25" s="4">
        <v>2E-3</v>
      </c>
      <c r="K25" s="4">
        <f t="shared" si="1"/>
        <v>3.1328320802005015E-3</v>
      </c>
      <c r="L25" s="4">
        <f t="shared" si="2"/>
        <v>4.9989113999999992E-3</v>
      </c>
      <c r="M25" s="4">
        <v>0.25</v>
      </c>
      <c r="N25" s="4">
        <f>Tabelle1[[#This Row],[Pipe roughness coefficient k]]/Tabelle1[[#This Row],[Inside diameter '[mm']]]</f>
        <v>2.5062656641604011E-5</v>
      </c>
      <c r="O25" s="4">
        <f>(Tabelle1[[#This Row],[Wall thickness '[mm']  ]]+(Tabelle1[[#This Row],[Inside diameter '[mm']]])*2)</f>
        <v>174.7</v>
      </c>
      <c r="P25" s="54">
        <f>'7'!P16</f>
        <v>620</v>
      </c>
      <c r="Q25" s="4">
        <f>Tabelle1[[#This Row],[Overall length of fittings gate valve &amp; non-return flap '[mm']]]+Tabelle1[[#This Row],[Height of bend 3*D '[mm']]]</f>
        <v>794.7</v>
      </c>
    </row>
    <row r="26" spans="3:17" x14ac:dyDescent="0.25">
      <c r="C26" s="5" t="s">
        <v>499</v>
      </c>
      <c r="D26" s="4" t="s">
        <v>11</v>
      </c>
      <c r="E26" s="4" t="s">
        <v>17</v>
      </c>
      <c r="F26" s="4">
        <v>140</v>
      </c>
      <c r="G26" s="4">
        <v>19.2</v>
      </c>
      <c r="H26" s="4">
        <v>101.6</v>
      </c>
      <c r="I26" s="6">
        <f t="shared" si="0"/>
        <v>8.1032095999999996</v>
      </c>
      <c r="J26" s="4">
        <v>2E-3</v>
      </c>
      <c r="K26" s="4">
        <f t="shared" si="1"/>
        <v>2.4606299212598425E-3</v>
      </c>
      <c r="L26" s="4">
        <f t="shared" si="2"/>
        <v>8.1032095999999994E-3</v>
      </c>
      <c r="M26" s="4">
        <v>0.25</v>
      </c>
      <c r="N26" s="4">
        <f>Tabelle1[[#This Row],[Pipe roughness coefficient k]]/Tabelle1[[#This Row],[Inside diameter '[mm']]]</f>
        <v>1.9685039370078743E-5</v>
      </c>
      <c r="O26" s="4">
        <f>(Tabelle1[[#This Row],[Wall thickness '[mm']  ]]+(Tabelle1[[#This Row],[Inside diameter '[mm']]])*2)</f>
        <v>222.39999999999998</v>
      </c>
      <c r="P26" s="54">
        <f>'7'!P17</f>
        <v>700</v>
      </c>
      <c r="Q26" s="4">
        <f>Tabelle1[[#This Row],[Overall length of fittings gate valve &amp; non-return flap '[mm']]]+Tabelle1[[#This Row],[Height of bend 3*D '[mm']]]</f>
        <v>922.4</v>
      </c>
    </row>
    <row r="27" spans="3:17" x14ac:dyDescent="0.25">
      <c r="C27" s="5" t="s">
        <v>499</v>
      </c>
      <c r="D27" s="4" t="s">
        <v>12</v>
      </c>
      <c r="E27" s="4" t="s">
        <v>17</v>
      </c>
      <c r="F27" s="4">
        <v>180</v>
      </c>
      <c r="G27" s="4">
        <v>24.6</v>
      </c>
      <c r="H27" s="4">
        <v>130.80000000000001</v>
      </c>
      <c r="I27" s="6">
        <f t="shared" si="0"/>
        <v>13.430282400000001</v>
      </c>
      <c r="J27" s="4">
        <v>2E-3</v>
      </c>
      <c r="K27" s="4">
        <f t="shared" si="1"/>
        <v>1.9113149847094799E-3</v>
      </c>
      <c r="L27" s="4">
        <f t="shared" si="2"/>
        <v>1.3430282400000002E-2</v>
      </c>
      <c r="M27" s="4">
        <v>0.25</v>
      </c>
      <c r="N27" s="4">
        <f>Tabelle1[[#This Row],[Pipe roughness coefficient k]]/Tabelle1[[#This Row],[Inside diameter '[mm']]]</f>
        <v>1.5290519877675839E-5</v>
      </c>
      <c r="O27" s="4">
        <f>(Tabelle1[[#This Row],[Wall thickness '[mm']  ]]+(Tabelle1[[#This Row],[Inside diameter '[mm']]])*2)</f>
        <v>286.20000000000005</v>
      </c>
      <c r="P27" s="54">
        <f>'7'!P18</f>
        <v>800</v>
      </c>
      <c r="Q27" s="4">
        <f>Tabelle1[[#This Row],[Overall length of fittings gate valve &amp; non-return flap '[mm']]]+Tabelle1[[#This Row],[Height of bend 3*D '[mm']]]</f>
        <v>1086.2</v>
      </c>
    </row>
    <row r="28" spans="3:17" x14ac:dyDescent="0.25">
      <c r="C28" s="5" t="s">
        <v>499</v>
      </c>
      <c r="D28" s="4" t="s">
        <v>13</v>
      </c>
      <c r="E28" s="4" t="s">
        <v>17</v>
      </c>
      <c r="F28" s="4">
        <v>200</v>
      </c>
      <c r="G28" s="4">
        <v>27.4</v>
      </c>
      <c r="H28" s="4">
        <v>145.19999999999999</v>
      </c>
      <c r="I28" s="6">
        <f t="shared" si="0"/>
        <v>16.550186400000001</v>
      </c>
      <c r="J28" s="4">
        <v>2E-3</v>
      </c>
      <c r="K28" s="4">
        <f t="shared" si="1"/>
        <v>1.7217630853994491E-3</v>
      </c>
      <c r="L28" s="4">
        <f t="shared" si="2"/>
        <v>1.65501864E-2</v>
      </c>
      <c r="M28" s="4">
        <v>0.25</v>
      </c>
      <c r="N28" s="4">
        <f>Tabelle1[[#This Row],[Pipe roughness coefficient k]]/Tabelle1[[#This Row],[Inside diameter '[mm']]]</f>
        <v>1.3774104683195594E-5</v>
      </c>
      <c r="O28" s="4">
        <f>(Tabelle1[[#This Row],[Wall thickness '[mm']  ]]+(Tabelle1[[#This Row],[Inside diameter '[mm']]])*2)</f>
        <v>317.79999999999995</v>
      </c>
      <c r="P28" s="54">
        <f>'7'!P19</f>
        <v>960</v>
      </c>
      <c r="Q28" s="4">
        <f>Tabelle1[[#This Row],[Overall length of fittings gate valve &amp; non-return flap '[mm']]]+Tabelle1[[#This Row],[Height of bend 3*D '[mm']]]</f>
        <v>1277.8</v>
      </c>
    </row>
    <row r="29" spans="3:17" x14ac:dyDescent="0.25">
      <c r="C29" s="5" t="s">
        <v>499</v>
      </c>
      <c r="D29" s="4" t="s">
        <v>14</v>
      </c>
      <c r="E29" s="4" t="s">
        <v>17</v>
      </c>
      <c r="F29" s="4">
        <v>280</v>
      </c>
      <c r="G29" s="4">
        <v>38.299999999999997</v>
      </c>
      <c r="H29" s="4">
        <v>203.4</v>
      </c>
      <c r="I29" s="6">
        <f t="shared" si="0"/>
        <v>32.476674600000003</v>
      </c>
      <c r="J29" s="4">
        <v>2E-3</v>
      </c>
      <c r="K29" s="4">
        <f t="shared" si="1"/>
        <v>1.2291052114060963E-3</v>
      </c>
      <c r="L29" s="4">
        <f t="shared" si="2"/>
        <v>3.2476674600000005E-2</v>
      </c>
      <c r="M29" s="4">
        <v>0.25</v>
      </c>
      <c r="N29" s="4">
        <f>Tabelle1[[#This Row],[Pipe roughness coefficient k]]/Tabelle1[[#This Row],[Inside diameter '[mm']]]</f>
        <v>9.8328416912487709E-6</v>
      </c>
      <c r="O29" s="4">
        <f>(Tabelle1[[#This Row],[Wall thickness '[mm']  ]]+(Tabelle1[[#This Row],[Inside diameter '[mm']]])*2)</f>
        <v>445.1</v>
      </c>
      <c r="P29" s="54">
        <f>'7'!P20</f>
        <v>1200</v>
      </c>
      <c r="Q29" s="4">
        <f>Tabelle1[[#This Row],[Overall length of fittings gate valve &amp; non-return flap '[mm']]]+Tabelle1[[#This Row],[Height of bend 3*D '[mm']]]</f>
        <v>1645.1</v>
      </c>
    </row>
    <row r="30" spans="3:17" x14ac:dyDescent="0.25">
      <c r="C30" s="5" t="s">
        <v>499</v>
      </c>
      <c r="D30" s="4" t="s">
        <v>15</v>
      </c>
      <c r="E30" s="4" t="s">
        <v>17</v>
      </c>
      <c r="F30" s="4">
        <v>355</v>
      </c>
      <c r="G30" s="4">
        <v>48.5</v>
      </c>
      <c r="H30" s="4">
        <v>258</v>
      </c>
      <c r="I30" s="6">
        <f t="shared" si="0"/>
        <v>52.252739999999996</v>
      </c>
      <c r="J30" s="4">
        <v>2E-3</v>
      </c>
      <c r="K30" s="4">
        <f t="shared" si="1"/>
        <v>9.6899224806201549E-4</v>
      </c>
      <c r="L30" s="4">
        <f t="shared" si="2"/>
        <v>5.2252739999999999E-2</v>
      </c>
      <c r="M30" s="4">
        <v>0.25</v>
      </c>
      <c r="N30" s="4">
        <f>Tabelle1[[#This Row],[Pipe roughness coefficient k]]/Tabelle1[[#This Row],[Inside diameter '[mm']]]</f>
        <v>7.7519379844961241E-6</v>
      </c>
      <c r="O30" s="4">
        <f>(Tabelle1[[#This Row],[Wall thickness '[mm']  ]]+(Tabelle1[[#This Row],[Inside diameter '[mm']]])*2)</f>
        <v>564.5</v>
      </c>
      <c r="P30" s="54">
        <f>'7'!P21</f>
        <v>1460</v>
      </c>
      <c r="Q30" s="4">
        <f>Tabelle1[[#This Row],[Overall length of fittings gate valve &amp; non-return flap '[mm']]]+Tabelle1[[#This Row],[Height of bend 3*D '[mm']]]</f>
        <v>2024.5</v>
      </c>
    </row>
    <row r="31" spans="3:17" x14ac:dyDescent="0.25">
      <c r="C31" s="5" t="s">
        <v>500</v>
      </c>
      <c r="D31" s="4" t="s">
        <v>3</v>
      </c>
      <c r="E31" s="4" t="s">
        <v>17</v>
      </c>
      <c r="F31" s="4">
        <v>20</v>
      </c>
      <c r="G31" s="4">
        <v>1.9</v>
      </c>
      <c r="H31" s="4">
        <v>16.2</v>
      </c>
      <c r="I31" s="6">
        <f t="shared" si="0"/>
        <v>0.20601539999999999</v>
      </c>
      <c r="J31" s="4">
        <v>2E-3</v>
      </c>
      <c r="K31" s="4">
        <f t="shared" si="1"/>
        <v>1.54320987654321E-2</v>
      </c>
      <c r="L31" s="4">
        <f t="shared" si="2"/>
        <v>2.0601539999999999E-4</v>
      </c>
      <c r="M31" s="4">
        <v>0.25</v>
      </c>
      <c r="N31" s="4">
        <f>Tabelle1[[#This Row],[Pipe roughness coefficient k]]/Tabelle1[[#This Row],[Inside diameter '[mm']]]</f>
        <v>1.2345679012345679E-4</v>
      </c>
      <c r="O31" s="4">
        <f>(Tabelle1[[#This Row],[Wall thickness '[mm']  ]]+(Tabelle1[[#This Row],[Inside diameter '[mm']]])*2)</f>
        <v>34.299999999999997</v>
      </c>
      <c r="P31" s="4">
        <f>'7'!P9</f>
        <v>260</v>
      </c>
      <c r="Q31" s="4">
        <f>Tabelle1[[#This Row],[Overall length of fittings gate valve &amp; non-return flap '[mm']]]+Tabelle1[[#This Row],[Height of bend 3*D '[mm']]]</f>
        <v>294.3</v>
      </c>
    </row>
    <row r="32" spans="3:17" x14ac:dyDescent="0.25">
      <c r="C32" s="5" t="s">
        <v>500</v>
      </c>
      <c r="D32" s="4" t="s">
        <v>4</v>
      </c>
      <c r="E32" s="4" t="s">
        <v>17</v>
      </c>
      <c r="F32" s="4">
        <v>25</v>
      </c>
      <c r="G32" s="4">
        <v>2.2999999999999998</v>
      </c>
      <c r="H32" s="4">
        <v>20.399999999999999</v>
      </c>
      <c r="I32" s="6">
        <f t="shared" si="0"/>
        <v>0.32668559999999996</v>
      </c>
      <c r="J32" s="4">
        <v>2E-3</v>
      </c>
      <c r="K32" s="4">
        <f t="shared" si="1"/>
        <v>1.2254901960784315E-2</v>
      </c>
      <c r="L32" s="4">
        <f t="shared" si="2"/>
        <v>3.2668559999999994E-4</v>
      </c>
      <c r="M32" s="4">
        <v>0.25</v>
      </c>
      <c r="N32" s="4">
        <f>Tabelle1[[#This Row],[Pipe roughness coefficient k]]/Tabelle1[[#This Row],[Inside diameter '[mm']]]</f>
        <v>9.8039215686274519E-5</v>
      </c>
      <c r="O32" s="4">
        <f>(Tabelle1[[#This Row],[Wall thickness '[mm']  ]]+(Tabelle1[[#This Row],[Inside diameter '[mm']]])*2)</f>
        <v>43.099999999999994</v>
      </c>
      <c r="P32" s="4">
        <f>'7'!P10</f>
        <v>300</v>
      </c>
      <c r="Q32" s="4">
        <f>Tabelle1[[#This Row],[Overall length of fittings gate valve &amp; non-return flap '[mm']]]+Tabelle1[[#This Row],[Height of bend 3*D '[mm']]]</f>
        <v>343.1</v>
      </c>
    </row>
    <row r="33" spans="3:17" x14ac:dyDescent="0.25">
      <c r="C33" s="5" t="s">
        <v>500</v>
      </c>
      <c r="D33" s="4" t="s">
        <v>5</v>
      </c>
      <c r="E33" s="4" t="s">
        <v>17</v>
      </c>
      <c r="F33" s="4">
        <v>32</v>
      </c>
      <c r="G33" s="4">
        <v>2.9</v>
      </c>
      <c r="H33" s="4">
        <v>26.2</v>
      </c>
      <c r="I33" s="6">
        <f t="shared" si="0"/>
        <v>0.53885539999999987</v>
      </c>
      <c r="J33" s="4">
        <v>2E-3</v>
      </c>
      <c r="K33" s="4">
        <f t="shared" si="1"/>
        <v>9.5419847328244278E-3</v>
      </c>
      <c r="L33" s="4">
        <f t="shared" si="2"/>
        <v>5.388553999999999E-4</v>
      </c>
      <c r="M33" s="4">
        <v>0.25</v>
      </c>
      <c r="N33" s="4">
        <f>Tabelle1[[#This Row],[Pipe roughness coefficient k]]/Tabelle1[[#This Row],[Inside diameter '[mm']]]</f>
        <v>7.6335877862595422E-5</v>
      </c>
      <c r="O33" s="4">
        <f>(Tabelle1[[#This Row],[Wall thickness '[mm']  ]]+(Tabelle1[[#This Row],[Inside diameter '[mm']]])*2)</f>
        <v>55.3</v>
      </c>
      <c r="P33" s="4">
        <f>'7'!P11</f>
        <v>320</v>
      </c>
      <c r="Q33" s="4">
        <f>Tabelle1[[#This Row],[Overall length of fittings gate valve &amp; non-return flap '[mm']]]+Tabelle1[[#This Row],[Height of bend 3*D '[mm']]]</f>
        <v>375.3</v>
      </c>
    </row>
    <row r="34" spans="3:17" x14ac:dyDescent="0.25">
      <c r="C34" s="5" t="s">
        <v>500</v>
      </c>
      <c r="D34" s="4" t="s">
        <v>6</v>
      </c>
      <c r="E34" s="4" t="s">
        <v>17</v>
      </c>
      <c r="F34" s="4">
        <v>40</v>
      </c>
      <c r="G34" s="4">
        <v>3.7</v>
      </c>
      <c r="H34" s="4">
        <v>32.6</v>
      </c>
      <c r="I34" s="6">
        <f t="shared" si="0"/>
        <v>0.8342666000000003</v>
      </c>
      <c r="J34" s="4">
        <v>2E-3</v>
      </c>
      <c r="K34" s="4">
        <f t="shared" si="1"/>
        <v>7.6687116564417178E-3</v>
      </c>
      <c r="L34" s="4">
        <f t="shared" si="2"/>
        <v>8.3426660000000027E-4</v>
      </c>
      <c r="M34" s="4">
        <v>0.25</v>
      </c>
      <c r="N34" s="4">
        <f>Tabelle1[[#This Row],[Pipe roughness coefficient k]]/Tabelle1[[#This Row],[Inside diameter '[mm']]]</f>
        <v>6.1349693251533746E-5</v>
      </c>
      <c r="O34" s="4">
        <f>(Tabelle1[[#This Row],[Wall thickness '[mm']  ]]+(Tabelle1[[#This Row],[Inside diameter '[mm']]])*2)</f>
        <v>68.900000000000006</v>
      </c>
      <c r="P34" s="4">
        <f>'7'!P12</f>
        <v>360</v>
      </c>
      <c r="Q34" s="4">
        <f>Tabelle1[[#This Row],[Overall length of fittings gate valve &amp; non-return flap '[mm']]]+Tabelle1[[#This Row],[Height of bend 3*D '[mm']]]</f>
        <v>428.9</v>
      </c>
    </row>
    <row r="35" spans="3:17" x14ac:dyDescent="0.25">
      <c r="C35" s="5" t="s">
        <v>500</v>
      </c>
      <c r="D35" s="4" t="s">
        <v>7</v>
      </c>
      <c r="E35" s="4" t="s">
        <v>17</v>
      </c>
      <c r="F35" s="4">
        <v>50</v>
      </c>
      <c r="G35" s="4">
        <v>4.5999999999999996</v>
      </c>
      <c r="H35" s="4">
        <v>40.799999999999997</v>
      </c>
      <c r="I35" s="6">
        <f t="shared" si="0"/>
        <v>1.3067423999999999</v>
      </c>
      <c r="J35" s="4">
        <v>2E-3</v>
      </c>
      <c r="K35" s="4">
        <f t="shared" si="1"/>
        <v>6.1274509803921576E-3</v>
      </c>
      <c r="L35" s="4">
        <f t="shared" si="2"/>
        <v>1.3067423999999998E-3</v>
      </c>
      <c r="M35" s="4">
        <v>0.25</v>
      </c>
      <c r="N35" s="4">
        <f>Tabelle1[[#This Row],[Pipe roughness coefficient k]]/Tabelle1[[#This Row],[Inside diameter '[mm']]]</f>
        <v>4.901960784313726E-5</v>
      </c>
      <c r="O35" s="4">
        <f>(Tabelle1[[#This Row],[Wall thickness '[mm']  ]]+(Tabelle1[[#This Row],[Inside diameter '[mm']]])*2)</f>
        <v>86.199999999999989</v>
      </c>
      <c r="P35" s="4">
        <f>'7'!P13</f>
        <v>400</v>
      </c>
      <c r="Q35" s="4">
        <f>Tabelle1[[#This Row],[Overall length of fittings gate valve &amp; non-return flap '[mm']]]+Tabelle1[[#This Row],[Height of bend 3*D '[mm']]]</f>
        <v>486.2</v>
      </c>
    </row>
    <row r="36" spans="3:17" x14ac:dyDescent="0.25">
      <c r="C36" s="5" t="s">
        <v>500</v>
      </c>
      <c r="D36" s="4" t="s">
        <v>8</v>
      </c>
      <c r="E36" s="4" t="s">
        <v>17</v>
      </c>
      <c r="F36" s="4">
        <v>63</v>
      </c>
      <c r="G36" s="4">
        <v>5.8</v>
      </c>
      <c r="H36" s="4">
        <v>51.4</v>
      </c>
      <c r="I36" s="6">
        <f t="shared" si="0"/>
        <v>2.0739386000000004</v>
      </c>
      <c r="J36" s="4">
        <v>2E-3</v>
      </c>
      <c r="K36" s="4">
        <f t="shared" si="1"/>
        <v>4.8638132295719845E-3</v>
      </c>
      <c r="L36" s="4">
        <f t="shared" si="2"/>
        <v>2.0739386000000002E-3</v>
      </c>
      <c r="M36" s="4">
        <v>0.25</v>
      </c>
      <c r="N36" s="4">
        <f>Tabelle1[[#This Row],[Pipe roughness coefficient k]]/Tabelle1[[#This Row],[Inside diameter '[mm']]]</f>
        <v>3.8910505836575878E-5</v>
      </c>
      <c r="O36" s="4">
        <f>(Tabelle1[[#This Row],[Wall thickness '[mm']  ]]+(Tabelle1[[#This Row],[Inside diameter '[mm']]])*2)</f>
        <v>108.6</v>
      </c>
      <c r="P36" s="4">
        <f>'7'!P14</f>
        <v>460</v>
      </c>
      <c r="Q36" s="4">
        <f>Tabelle1[[#This Row],[Overall length of fittings gate valve &amp; non-return flap '[mm']]]+Tabelle1[[#This Row],[Height of bend 3*D '[mm']]]</f>
        <v>568.6</v>
      </c>
    </row>
    <row r="37" spans="3:17" x14ac:dyDescent="0.25">
      <c r="C37" s="5" t="s">
        <v>500</v>
      </c>
      <c r="D37" s="4" t="s">
        <v>9</v>
      </c>
      <c r="E37" s="4" t="s">
        <v>17</v>
      </c>
      <c r="F37" s="4">
        <v>75</v>
      </c>
      <c r="G37" s="4">
        <v>6.8</v>
      </c>
      <c r="H37" s="4">
        <v>61.4</v>
      </c>
      <c r="I37" s="6">
        <f t="shared" si="0"/>
        <v>2.9594185999999998</v>
      </c>
      <c r="J37" s="4">
        <v>2E-3</v>
      </c>
      <c r="K37" s="4">
        <f t="shared" si="1"/>
        <v>4.0716612377850164E-3</v>
      </c>
      <c r="L37" s="4">
        <f t="shared" si="2"/>
        <v>2.9594185999999999E-3</v>
      </c>
      <c r="M37" s="4">
        <v>0.25</v>
      </c>
      <c r="N37" s="4">
        <f>Tabelle1[[#This Row],[Pipe roughness coefficient k]]/Tabelle1[[#This Row],[Inside diameter '[mm']]]</f>
        <v>3.2573289902280134E-5</v>
      </c>
      <c r="O37" s="4">
        <f>(Tabelle1[[#This Row],[Wall thickness '[mm']  ]]+(Tabelle1[[#This Row],[Inside diameter '[mm']]])*2)</f>
        <v>129.6</v>
      </c>
      <c r="P37" s="4">
        <f>'7'!P15</f>
        <v>580</v>
      </c>
      <c r="Q37" s="4">
        <f>Tabelle1[[#This Row],[Overall length of fittings gate valve &amp; non-return flap '[mm']]]+Tabelle1[[#This Row],[Height of bend 3*D '[mm']]]</f>
        <v>709.6</v>
      </c>
    </row>
    <row r="38" spans="3:17" x14ac:dyDescent="0.25">
      <c r="C38" s="5" t="s">
        <v>500</v>
      </c>
      <c r="D38" s="4" t="s">
        <v>10</v>
      </c>
      <c r="E38" s="4" t="s">
        <v>17</v>
      </c>
      <c r="F38" s="4">
        <v>90</v>
      </c>
      <c r="G38" s="4">
        <v>8.1999999999999993</v>
      </c>
      <c r="H38" s="4">
        <v>73.599999999999994</v>
      </c>
      <c r="I38" s="6">
        <f t="shared" si="0"/>
        <v>4.2523135999999999</v>
      </c>
      <c r="J38" s="4">
        <v>2E-3</v>
      </c>
      <c r="K38" s="4">
        <f t="shared" si="1"/>
        <v>3.3967391304347829E-3</v>
      </c>
      <c r="L38" s="4">
        <f t="shared" si="2"/>
        <v>4.2523136E-3</v>
      </c>
      <c r="M38" s="4">
        <v>0.25</v>
      </c>
      <c r="N38" s="4">
        <f>Tabelle1[[#This Row],[Pipe roughness coefficient k]]/Tabelle1[[#This Row],[Inside diameter '[mm']]]</f>
        <v>2.7173913043478262E-5</v>
      </c>
      <c r="O38" s="4">
        <f>(Tabelle1[[#This Row],[Wall thickness '[mm']  ]]+(Tabelle1[[#This Row],[Inside diameter '[mm']]])*2)</f>
        <v>155.39999999999998</v>
      </c>
      <c r="P38" s="4">
        <f>'7'!P16</f>
        <v>620</v>
      </c>
      <c r="Q38" s="4">
        <f>Tabelle1[[#This Row],[Overall length of fittings gate valve &amp; non-return flap '[mm']]]+Tabelle1[[#This Row],[Height of bend 3*D '[mm']]]</f>
        <v>775.4</v>
      </c>
    </row>
    <row r="39" spans="3:17" x14ac:dyDescent="0.25">
      <c r="C39" s="5" t="s">
        <v>500</v>
      </c>
      <c r="D39" s="4" t="s">
        <v>11</v>
      </c>
      <c r="E39" s="4" t="s">
        <v>17</v>
      </c>
      <c r="F39" s="4">
        <v>125</v>
      </c>
      <c r="G39" s="4">
        <v>11.4</v>
      </c>
      <c r="H39" s="4">
        <v>102.2</v>
      </c>
      <c r="I39" s="6">
        <f t="shared" si="0"/>
        <v>8.1991994000000012</v>
      </c>
      <c r="J39" s="4">
        <v>2E-3</v>
      </c>
      <c r="K39" s="4">
        <f t="shared" si="1"/>
        <v>2.446183953033268E-3</v>
      </c>
      <c r="L39" s="4">
        <f t="shared" si="2"/>
        <v>8.1991994000000009E-3</v>
      </c>
      <c r="M39" s="4">
        <v>0.25</v>
      </c>
      <c r="N39" s="4">
        <f>Tabelle1[[#This Row],[Pipe roughness coefficient k]]/Tabelle1[[#This Row],[Inside diameter '[mm']]]</f>
        <v>1.9569471624266145E-5</v>
      </c>
      <c r="O39" s="4">
        <f>(Tabelle1[[#This Row],[Wall thickness '[mm']  ]]+(Tabelle1[[#This Row],[Inside diameter '[mm']]])*2)</f>
        <v>215.8</v>
      </c>
      <c r="P39" s="4">
        <f>'7'!P17</f>
        <v>700</v>
      </c>
      <c r="Q39" s="4">
        <f>Tabelle1[[#This Row],[Overall length of fittings gate valve &amp; non-return flap '[mm']]]+Tabelle1[[#This Row],[Height of bend 3*D '[mm']]]</f>
        <v>915.8</v>
      </c>
    </row>
    <row r="40" spans="3:17" x14ac:dyDescent="0.25">
      <c r="C40" s="5" t="s">
        <v>500</v>
      </c>
      <c r="D40" s="4" t="s">
        <v>12</v>
      </c>
      <c r="E40" s="4" t="s">
        <v>17</v>
      </c>
      <c r="F40" s="4">
        <v>160</v>
      </c>
      <c r="G40" s="4">
        <v>14.6</v>
      </c>
      <c r="H40" s="4">
        <v>130.80000000000001</v>
      </c>
      <c r="I40" s="6">
        <f t="shared" si="0"/>
        <v>13.430282400000001</v>
      </c>
      <c r="J40" s="4">
        <v>2E-3</v>
      </c>
      <c r="K40" s="4">
        <f t="shared" si="1"/>
        <v>1.9113149847094799E-3</v>
      </c>
      <c r="L40" s="4">
        <f t="shared" si="2"/>
        <v>1.3430282400000002E-2</v>
      </c>
      <c r="M40" s="4">
        <v>0.25</v>
      </c>
      <c r="N40" s="4">
        <f>Tabelle1[[#This Row],[Pipe roughness coefficient k]]/Tabelle1[[#This Row],[Inside diameter '[mm']]]</f>
        <v>1.5290519877675839E-5</v>
      </c>
      <c r="O40" s="4">
        <f>(Tabelle1[[#This Row],[Wall thickness '[mm']  ]]+(Tabelle1[[#This Row],[Inside diameter '[mm']]])*2)</f>
        <v>276.20000000000005</v>
      </c>
      <c r="P40" s="4">
        <f>'7'!P18</f>
        <v>800</v>
      </c>
      <c r="Q40" s="4">
        <f>Tabelle1[[#This Row],[Overall length of fittings gate valve &amp; non-return flap '[mm']]]+Tabelle1[[#This Row],[Height of bend 3*D '[mm']]]</f>
        <v>1076.2</v>
      </c>
    </row>
    <row r="41" spans="3:17" x14ac:dyDescent="0.25">
      <c r="C41" s="5" t="s">
        <v>500</v>
      </c>
      <c r="D41" s="4" t="s">
        <v>13</v>
      </c>
      <c r="E41" s="4" t="s">
        <v>17</v>
      </c>
      <c r="F41" s="4">
        <v>180</v>
      </c>
      <c r="G41" s="4">
        <v>16.399999999999999</v>
      </c>
      <c r="H41" s="4">
        <v>147.19999999999999</v>
      </c>
      <c r="I41" s="6">
        <f t="shared" si="0"/>
        <v>17.0092544</v>
      </c>
      <c r="J41" s="4">
        <v>2E-3</v>
      </c>
      <c r="K41" s="4">
        <f t="shared" si="1"/>
        <v>1.6983695652173915E-3</v>
      </c>
      <c r="L41" s="4">
        <f t="shared" si="2"/>
        <v>1.70092544E-2</v>
      </c>
      <c r="M41" s="4">
        <v>0.25</v>
      </c>
      <c r="N41" s="4">
        <f>Tabelle1[[#This Row],[Pipe roughness coefficient k]]/Tabelle1[[#This Row],[Inside diameter '[mm']]]</f>
        <v>1.3586956521739131E-5</v>
      </c>
      <c r="O41" s="4">
        <f>(Tabelle1[[#This Row],[Wall thickness '[mm']  ]]+(Tabelle1[[#This Row],[Inside diameter '[mm']]])*2)</f>
        <v>310.79999999999995</v>
      </c>
      <c r="P41" s="4">
        <f>'7'!P19</f>
        <v>960</v>
      </c>
      <c r="Q41" s="4">
        <f>Tabelle1[[#This Row],[Overall length of fittings gate valve &amp; non-return flap '[mm']]]+Tabelle1[[#This Row],[Height of bend 3*D '[mm']]]</f>
        <v>1270.8</v>
      </c>
    </row>
    <row r="42" spans="3:17" x14ac:dyDescent="0.25">
      <c r="C42" s="5" t="s">
        <v>500</v>
      </c>
      <c r="D42" s="4" t="s">
        <v>14</v>
      </c>
      <c r="E42" s="4" t="s">
        <v>17</v>
      </c>
      <c r="F42" s="4">
        <v>250</v>
      </c>
      <c r="G42" s="4">
        <v>22.7</v>
      </c>
      <c r="H42" s="4">
        <v>204.6</v>
      </c>
      <c r="I42" s="6">
        <f t="shared" si="0"/>
        <v>32.861010600000007</v>
      </c>
      <c r="J42" s="4">
        <v>2E-3</v>
      </c>
      <c r="K42" s="4">
        <f t="shared" si="1"/>
        <v>1.2218963831867058E-3</v>
      </c>
      <c r="L42" s="4">
        <f t="shared" si="2"/>
        <v>3.2861010600000004E-2</v>
      </c>
      <c r="M42" s="4">
        <v>0.25</v>
      </c>
      <c r="N42" s="4">
        <f>Tabelle1[[#This Row],[Pipe roughness coefficient k]]/Tabelle1[[#This Row],[Inside diameter '[mm']]]</f>
        <v>9.7751710654936461E-6</v>
      </c>
      <c r="O42" s="4">
        <f>(Tabelle1[[#This Row],[Wall thickness '[mm']  ]]+(Tabelle1[[#This Row],[Inside diameter '[mm']]])*2)</f>
        <v>431.9</v>
      </c>
      <c r="P42" s="4">
        <f>'7'!P20</f>
        <v>1200</v>
      </c>
      <c r="Q42" s="4">
        <f>Tabelle1[[#This Row],[Overall length of fittings gate valve &amp; non-return flap '[mm']]]+Tabelle1[[#This Row],[Height of bend 3*D '[mm']]]</f>
        <v>1631.9</v>
      </c>
    </row>
    <row r="43" spans="3:17" x14ac:dyDescent="0.25">
      <c r="C43" s="5" t="s">
        <v>500</v>
      </c>
      <c r="D43" s="4" t="s">
        <v>15</v>
      </c>
      <c r="E43" s="4" t="s">
        <v>17</v>
      </c>
      <c r="F43" s="4">
        <v>315</v>
      </c>
      <c r="G43" s="4">
        <v>28.6</v>
      </c>
      <c r="H43" s="4">
        <v>257.8</v>
      </c>
      <c r="I43" s="6">
        <f t="shared" si="0"/>
        <v>52.17175940000002</v>
      </c>
      <c r="J43" s="4">
        <v>2E-3</v>
      </c>
      <c r="K43" s="4">
        <f t="shared" si="1"/>
        <v>9.6974398758727695E-4</v>
      </c>
      <c r="L43" s="4">
        <f t="shared" si="2"/>
        <v>5.2171759400000017E-2</v>
      </c>
      <c r="M43" s="4">
        <v>0.25</v>
      </c>
      <c r="N43" s="4">
        <f>Tabelle1[[#This Row],[Pipe roughness coefficient k]]/Tabelle1[[#This Row],[Inside diameter '[mm']]]</f>
        <v>7.7579519006982157E-6</v>
      </c>
      <c r="O43" s="4">
        <f>(Tabelle1[[#This Row],[Wall thickness '[mm']  ]]+(Tabelle1[[#This Row],[Inside diameter '[mm']]])*2)</f>
        <v>544.20000000000005</v>
      </c>
      <c r="P43" s="4">
        <f>'7'!P21</f>
        <v>1460</v>
      </c>
      <c r="Q43" s="4">
        <f>Tabelle1[[#This Row],[Overall length of fittings gate valve &amp; non-return flap '[mm']]]+Tabelle1[[#This Row],[Height of bend 3*D '[mm']]]</f>
        <v>2004.2</v>
      </c>
    </row>
    <row r="44" spans="3:17" x14ac:dyDescent="0.25">
      <c r="C44" s="5" t="s">
        <v>500</v>
      </c>
      <c r="D44" s="4" t="s">
        <v>18</v>
      </c>
      <c r="E44" s="4" t="s">
        <v>17</v>
      </c>
      <c r="F44" s="4">
        <v>355</v>
      </c>
      <c r="G44" s="4">
        <v>32.200000000000003</v>
      </c>
      <c r="H44" s="4">
        <v>290.60000000000002</v>
      </c>
      <c r="I44" s="6">
        <f t="shared" si="0"/>
        <v>66.291962600000019</v>
      </c>
      <c r="J44" s="4">
        <v>2E-3</v>
      </c>
      <c r="K44" s="4">
        <f t="shared" si="1"/>
        <v>8.602890571231933E-4</v>
      </c>
      <c r="L44" s="4">
        <f t="shared" si="2"/>
        <v>6.6291962600000018E-2</v>
      </c>
      <c r="M44" s="4">
        <v>0.25</v>
      </c>
      <c r="N44" s="4">
        <f>Tabelle1[[#This Row],[Pipe roughness coefficient k]]/Tabelle1[[#This Row],[Inside diameter '[mm']]]</f>
        <v>6.882312456985547E-6</v>
      </c>
      <c r="O44" s="4">
        <f>(Tabelle1[[#This Row],[Wall thickness '[mm']  ]]+(Tabelle1[[#This Row],[Inside diameter '[mm']]])*2)</f>
        <v>613.40000000000009</v>
      </c>
      <c r="P44" s="4"/>
      <c r="Q44" s="4"/>
    </row>
    <row r="45" spans="3:17" x14ac:dyDescent="0.25">
      <c r="C45" s="5" t="s">
        <v>500</v>
      </c>
      <c r="D45" s="4" t="s">
        <v>19</v>
      </c>
      <c r="E45" s="4" t="s">
        <v>17</v>
      </c>
      <c r="F45" s="4">
        <v>450</v>
      </c>
      <c r="G45" s="4">
        <v>40.9</v>
      </c>
      <c r="H45" s="4">
        <v>368.2</v>
      </c>
      <c r="I45" s="6">
        <f t="shared" si="0"/>
        <v>106.42342339999999</v>
      </c>
      <c r="J45" s="4">
        <v>2E-3</v>
      </c>
      <c r="K45" s="4">
        <f t="shared" si="1"/>
        <v>6.7897881586094521E-4</v>
      </c>
      <c r="L45" s="4">
        <f t="shared" si="2"/>
        <v>0.10642342339999999</v>
      </c>
      <c r="M45" s="4">
        <v>0.25</v>
      </c>
      <c r="N45" s="4">
        <f>Tabelle1[[#This Row],[Pipe roughness coefficient k]]/Tabelle1[[#This Row],[Inside diameter '[mm']]]</f>
        <v>5.4318305268875612E-6</v>
      </c>
      <c r="O45" s="4">
        <f>(Tabelle1[[#This Row],[Wall thickness '[mm']  ]]+(Tabelle1[[#This Row],[Inside diameter '[mm']]])*2)</f>
        <v>777.3</v>
      </c>
      <c r="P45" s="4"/>
      <c r="Q45" s="4"/>
    </row>
    <row r="46" spans="3:17" x14ac:dyDescent="0.25">
      <c r="C46" s="5" t="s">
        <v>500</v>
      </c>
      <c r="D46" s="4" t="s">
        <v>20</v>
      </c>
      <c r="E46" s="4" t="s">
        <v>17</v>
      </c>
      <c r="F46" s="4">
        <v>500</v>
      </c>
      <c r="G46" s="4">
        <v>45.4</v>
      </c>
      <c r="H46" s="4">
        <v>409.2</v>
      </c>
      <c r="I46" s="6">
        <f t="shared" si="0"/>
        <v>131.44404240000003</v>
      </c>
      <c r="J46" s="4">
        <v>2E-3</v>
      </c>
      <c r="K46" s="4">
        <f t="shared" si="1"/>
        <v>6.1094819159335288E-4</v>
      </c>
      <c r="L46" s="4">
        <f t="shared" si="2"/>
        <v>0.13144404240000002</v>
      </c>
      <c r="M46" s="4">
        <v>0.25</v>
      </c>
      <c r="N46" s="4">
        <f>Tabelle1[[#This Row],[Pipe roughness coefficient k]]/Tabelle1[[#This Row],[Inside diameter '[mm']]]</f>
        <v>4.8875855327468231E-6</v>
      </c>
      <c r="O46" s="4">
        <f>(Tabelle1[[#This Row],[Wall thickness '[mm']  ]]+(Tabelle1[[#This Row],[Inside diameter '[mm']]])*2)</f>
        <v>863.8</v>
      </c>
      <c r="P46" s="4"/>
      <c r="Q46" s="4"/>
    </row>
    <row r="47" spans="3:17" x14ac:dyDescent="0.25">
      <c r="C47" s="4" t="s">
        <v>501</v>
      </c>
      <c r="D47" s="4" t="s">
        <v>7</v>
      </c>
      <c r="E47" s="4" t="s">
        <v>21</v>
      </c>
      <c r="F47" s="4">
        <v>48</v>
      </c>
      <c r="G47" s="4">
        <v>3</v>
      </c>
      <c r="H47" s="4">
        <f t="shared" ref="H47:H92" si="3">F47-(2*G47)</f>
        <v>42</v>
      </c>
      <c r="I47" s="6">
        <f t="shared" si="0"/>
        <v>1.3847400000000001</v>
      </c>
      <c r="J47" s="4">
        <v>0.2</v>
      </c>
      <c r="K47" s="4">
        <f t="shared" si="1"/>
        <v>5.9523809523809521E-3</v>
      </c>
      <c r="L47" s="4">
        <f t="shared" si="2"/>
        <v>1.3847400000000002E-3</v>
      </c>
      <c r="M47" s="4">
        <v>0.25</v>
      </c>
      <c r="N47" s="4">
        <f>Tabelle1[[#This Row],[Pipe roughness coefficient k]]/Tabelle1[[#This Row],[Inside diameter '[mm']]]</f>
        <v>4.7619047619047623E-3</v>
      </c>
      <c r="O47" s="4">
        <f>(Tabelle1[[#This Row],[Wall thickness '[mm']  ]]+(Tabelle1[[#This Row],[Inside diameter '[mm']]])*2)</f>
        <v>87</v>
      </c>
      <c r="P47" s="4">
        <f>'7'!P13</f>
        <v>400</v>
      </c>
      <c r="Q47" s="4">
        <f>Tabelle1[[#This Row],[Overall length of fittings gate valve &amp; non-return flap '[mm']]]+Tabelle1[[#This Row],[Height of bend 3*D '[mm']]]</f>
        <v>487</v>
      </c>
    </row>
    <row r="48" spans="3:17" x14ac:dyDescent="0.25">
      <c r="C48" s="4" t="s">
        <v>501</v>
      </c>
      <c r="D48" s="4" t="s">
        <v>8</v>
      </c>
      <c r="E48" s="4" t="s">
        <v>21</v>
      </c>
      <c r="F48" s="4">
        <v>58</v>
      </c>
      <c r="G48" s="4">
        <v>3.5</v>
      </c>
      <c r="H48" s="4">
        <f t="shared" si="3"/>
        <v>51</v>
      </c>
      <c r="I48" s="6">
        <f t="shared" si="0"/>
        <v>2.041785</v>
      </c>
      <c r="J48" s="4">
        <v>0.2</v>
      </c>
      <c r="K48" s="4">
        <f t="shared" si="1"/>
        <v>4.9019607843137254E-3</v>
      </c>
      <c r="L48" s="4">
        <f t="shared" si="2"/>
        <v>2.041785E-3</v>
      </c>
      <c r="M48" s="4">
        <v>0.25</v>
      </c>
      <c r="N48" s="4">
        <f>Tabelle1[[#This Row],[Pipe roughness coefficient k]]/Tabelle1[[#This Row],[Inside diameter '[mm']]]</f>
        <v>3.9215686274509803E-3</v>
      </c>
      <c r="O48" s="4">
        <f>(Tabelle1[[#This Row],[Wall thickness '[mm']  ]]+(Tabelle1[[#This Row],[Inside diameter '[mm']]])*2)</f>
        <v>105.5</v>
      </c>
      <c r="P48" s="4">
        <f>'7'!P14</f>
        <v>460</v>
      </c>
      <c r="Q48" s="4">
        <f>Tabelle1[[#This Row],[Overall length of fittings gate valve &amp; non-return flap '[mm']]]+Tabelle1[[#This Row],[Height of bend 3*D '[mm']]]</f>
        <v>565.5</v>
      </c>
    </row>
    <row r="49" spans="3:17" x14ac:dyDescent="0.25">
      <c r="C49" s="4" t="s">
        <v>501</v>
      </c>
      <c r="D49" s="4" t="s">
        <v>22</v>
      </c>
      <c r="E49" s="4" t="s">
        <v>21</v>
      </c>
      <c r="F49" s="4">
        <v>78</v>
      </c>
      <c r="G49" s="4">
        <v>3.5</v>
      </c>
      <c r="H49" s="4">
        <f t="shared" si="3"/>
        <v>71</v>
      </c>
      <c r="I49" s="6">
        <f t="shared" si="0"/>
        <v>3.9571849999999995</v>
      </c>
      <c r="J49" s="4">
        <v>0.2</v>
      </c>
      <c r="K49" s="4">
        <f t="shared" si="1"/>
        <v>3.5211267605633804E-3</v>
      </c>
      <c r="L49" s="4">
        <f t="shared" si="2"/>
        <v>3.9571849999999993E-3</v>
      </c>
      <c r="M49" s="4">
        <v>0.25</v>
      </c>
      <c r="N49" s="4">
        <f>Tabelle1[[#This Row],[Pipe roughness coefficient k]]/Tabelle1[[#This Row],[Inside diameter '[mm']]]</f>
        <v>2.8169014084507044E-3</v>
      </c>
      <c r="O49" s="4">
        <f>(Tabelle1[[#This Row],[Wall thickness '[mm']  ]]+(Tabelle1[[#This Row],[Inside diameter '[mm']]])*2)</f>
        <v>145.5</v>
      </c>
      <c r="P49" s="4">
        <f>'7'!P15</f>
        <v>580</v>
      </c>
      <c r="Q49" s="4">
        <f>Tabelle1[[#This Row],[Overall length of fittings gate valve &amp; non-return flap '[mm']]]+Tabelle1[[#This Row],[Height of bend 3*D '[mm']]]</f>
        <v>725.5</v>
      </c>
    </row>
    <row r="50" spans="3:17" x14ac:dyDescent="0.25">
      <c r="C50" s="4" t="s">
        <v>501</v>
      </c>
      <c r="D50" s="4" t="s">
        <v>10</v>
      </c>
      <c r="E50" s="4" t="s">
        <v>21</v>
      </c>
      <c r="F50" s="4">
        <v>83</v>
      </c>
      <c r="G50" s="4">
        <v>3.5</v>
      </c>
      <c r="H50" s="4">
        <f t="shared" si="3"/>
        <v>76</v>
      </c>
      <c r="I50" s="6">
        <f t="shared" si="0"/>
        <v>4.53416</v>
      </c>
      <c r="J50" s="4">
        <v>0.2</v>
      </c>
      <c r="K50" s="4">
        <f t="shared" si="1"/>
        <v>3.2894736842105261E-3</v>
      </c>
      <c r="L50" s="4">
        <f t="shared" si="2"/>
        <v>4.5341599999999998E-3</v>
      </c>
      <c r="M50" s="4">
        <v>0.25</v>
      </c>
      <c r="N50" s="4">
        <f>Tabelle1[[#This Row],[Pipe roughness coefficient k]]/Tabelle1[[#This Row],[Inside diameter '[mm']]]</f>
        <v>2.631578947368421E-3</v>
      </c>
      <c r="O50" s="4">
        <f>(Tabelle1[[#This Row],[Wall thickness '[mm']  ]]+(Tabelle1[[#This Row],[Inside diameter '[mm']]])*2)</f>
        <v>155.5</v>
      </c>
      <c r="P50" s="4">
        <f>'7'!P16</f>
        <v>620</v>
      </c>
      <c r="Q50" s="4">
        <f>Tabelle1[[#This Row],[Overall length of fittings gate valve &amp; non-return flap '[mm']]]+Tabelle1[[#This Row],[Height of bend 3*D '[mm']]]</f>
        <v>775.5</v>
      </c>
    </row>
    <row r="51" spans="3:17" x14ac:dyDescent="0.25">
      <c r="C51" s="4" t="s">
        <v>501</v>
      </c>
      <c r="D51" s="4" t="s">
        <v>11</v>
      </c>
      <c r="E51" s="4" t="s">
        <v>21</v>
      </c>
      <c r="F51" s="4">
        <v>110</v>
      </c>
      <c r="G51" s="4">
        <v>3.5</v>
      </c>
      <c r="H51" s="4">
        <f t="shared" si="3"/>
        <v>103</v>
      </c>
      <c r="I51" s="6">
        <f t="shared" si="0"/>
        <v>8.3280649999999987</v>
      </c>
      <c r="J51" s="4">
        <v>0.2</v>
      </c>
      <c r="K51" s="4">
        <f t="shared" si="1"/>
        <v>2.4271844660194173E-3</v>
      </c>
      <c r="L51" s="4">
        <f t="shared" si="2"/>
        <v>8.3280649999999991E-3</v>
      </c>
      <c r="M51" s="4">
        <v>0.25</v>
      </c>
      <c r="N51" s="4">
        <f>Tabelle1[[#This Row],[Pipe roughness coefficient k]]/Tabelle1[[#This Row],[Inside diameter '[mm']]]</f>
        <v>1.9417475728155341E-3</v>
      </c>
      <c r="O51" s="4">
        <f>(Tabelle1[[#This Row],[Wall thickness '[mm']  ]]+(Tabelle1[[#This Row],[Inside diameter '[mm']]])*2)</f>
        <v>209.5</v>
      </c>
      <c r="P51" s="4">
        <f>'7'!P17</f>
        <v>700</v>
      </c>
      <c r="Q51" s="4">
        <f>Tabelle1[[#This Row],[Overall length of fittings gate valve &amp; non-return flap '[mm']]]+Tabelle1[[#This Row],[Height of bend 3*D '[mm']]]</f>
        <v>909.5</v>
      </c>
    </row>
    <row r="52" spans="3:17" x14ac:dyDescent="0.25">
      <c r="C52" s="4" t="s">
        <v>501</v>
      </c>
      <c r="D52" s="4" t="s">
        <v>12</v>
      </c>
      <c r="E52" s="4" t="s">
        <v>21</v>
      </c>
      <c r="F52" s="4">
        <v>135</v>
      </c>
      <c r="G52" s="4">
        <v>4</v>
      </c>
      <c r="H52" s="4">
        <f t="shared" si="3"/>
        <v>127</v>
      </c>
      <c r="I52" s="6">
        <f t="shared" si="0"/>
        <v>12.661265000000002</v>
      </c>
      <c r="J52" s="4">
        <v>0.2</v>
      </c>
      <c r="K52" s="4">
        <f t="shared" si="1"/>
        <v>1.968503937007874E-3</v>
      </c>
      <c r="L52" s="4">
        <f t="shared" si="2"/>
        <v>1.2661265000000001E-2</v>
      </c>
      <c r="M52" s="4">
        <v>0.25</v>
      </c>
      <c r="N52" s="4">
        <f>Tabelle1[[#This Row],[Pipe roughness coefficient k]]/Tabelle1[[#This Row],[Inside diameter '[mm']]]</f>
        <v>1.5748031496062994E-3</v>
      </c>
      <c r="O52" s="4">
        <f>(Tabelle1[[#This Row],[Wall thickness '[mm']  ]]+(Tabelle1[[#This Row],[Inside diameter '[mm']]])*2)</f>
        <v>258</v>
      </c>
      <c r="P52" s="4">
        <f>'7'!P18</f>
        <v>800</v>
      </c>
      <c r="Q52" s="4">
        <f>Tabelle1[[#This Row],[Overall length of fittings gate valve &amp; non-return flap '[mm']]]+Tabelle1[[#This Row],[Height of bend 3*D '[mm']]]</f>
        <v>1058</v>
      </c>
    </row>
    <row r="53" spans="3:17" x14ac:dyDescent="0.25">
      <c r="C53" s="4" t="s">
        <v>501</v>
      </c>
      <c r="D53" s="4" t="s">
        <v>13</v>
      </c>
      <c r="E53" s="4" t="s">
        <v>21</v>
      </c>
      <c r="F53" s="4">
        <v>160</v>
      </c>
      <c r="G53" s="4">
        <v>4</v>
      </c>
      <c r="H53" s="4">
        <f t="shared" si="3"/>
        <v>152</v>
      </c>
      <c r="I53" s="6">
        <f t="shared" si="0"/>
        <v>18.13664</v>
      </c>
      <c r="J53" s="4">
        <v>0.2</v>
      </c>
      <c r="K53" s="4">
        <f t="shared" si="1"/>
        <v>1.6447368421052631E-3</v>
      </c>
      <c r="L53" s="4">
        <f t="shared" si="2"/>
        <v>1.8136639999999999E-2</v>
      </c>
      <c r="M53" s="4">
        <v>0.25</v>
      </c>
      <c r="N53" s="4">
        <f>Tabelle1[[#This Row],[Pipe roughness coefficient k]]/Tabelle1[[#This Row],[Inside diameter '[mm']]]</f>
        <v>1.3157894736842105E-3</v>
      </c>
      <c r="O53" s="4">
        <f>(Tabelle1[[#This Row],[Wall thickness '[mm']  ]]+(Tabelle1[[#This Row],[Inside diameter '[mm']]])*2)</f>
        <v>308</v>
      </c>
      <c r="P53" s="4">
        <f>'7'!P19</f>
        <v>960</v>
      </c>
      <c r="Q53" s="4">
        <f>Tabelle1[[#This Row],[Overall length of fittings gate valve &amp; non-return flap '[mm']]]+Tabelle1[[#This Row],[Height of bend 3*D '[mm']]]</f>
        <v>1268</v>
      </c>
    </row>
    <row r="54" spans="3:17" x14ac:dyDescent="0.25">
      <c r="C54" s="4" t="s">
        <v>501</v>
      </c>
      <c r="D54" s="4" t="s">
        <v>14</v>
      </c>
      <c r="E54" s="4" t="s">
        <v>21</v>
      </c>
      <c r="F54" s="4">
        <v>210</v>
      </c>
      <c r="G54" s="4">
        <v>5</v>
      </c>
      <c r="H54" s="4">
        <f t="shared" si="3"/>
        <v>200</v>
      </c>
      <c r="I54" s="6">
        <f t="shared" si="0"/>
        <v>31.400000000000006</v>
      </c>
      <c r="J54" s="4">
        <v>0.2</v>
      </c>
      <c r="K54" s="4">
        <f t="shared" si="1"/>
        <v>1.25E-3</v>
      </c>
      <c r="L54" s="4">
        <f t="shared" si="2"/>
        <v>3.1400000000000004E-2</v>
      </c>
      <c r="M54" s="4">
        <v>0.25</v>
      </c>
      <c r="N54" s="4">
        <f>Tabelle1[[#This Row],[Pipe roughness coefficient k]]/Tabelle1[[#This Row],[Inside diameter '[mm']]]</f>
        <v>1E-3</v>
      </c>
      <c r="O54" s="4"/>
      <c r="P54" s="4"/>
      <c r="Q54" s="4"/>
    </row>
    <row r="55" spans="3:17" x14ac:dyDescent="0.25">
      <c r="C55" s="4" t="s">
        <v>501</v>
      </c>
      <c r="D55" s="4" t="s">
        <v>15</v>
      </c>
      <c r="E55" s="4" t="s">
        <v>21</v>
      </c>
      <c r="F55" s="4">
        <v>274</v>
      </c>
      <c r="G55" s="4">
        <v>5.5</v>
      </c>
      <c r="H55" s="4">
        <f t="shared" si="3"/>
        <v>263</v>
      </c>
      <c r="I55" s="6">
        <f t="shared" si="0"/>
        <v>54.297665000000009</v>
      </c>
      <c r="J55" s="4">
        <v>0.2</v>
      </c>
      <c r="K55" s="4">
        <f t="shared" si="1"/>
        <v>9.5057034220532319E-4</v>
      </c>
      <c r="L55" s="4">
        <f t="shared" si="2"/>
        <v>5.4297665000000009E-2</v>
      </c>
      <c r="M55" s="4">
        <v>0.25</v>
      </c>
      <c r="N55" s="4">
        <f>Tabelle1[[#This Row],[Pipe roughness coefficient k]]/Tabelle1[[#This Row],[Inside diameter '[mm']]]</f>
        <v>7.6045627376425862E-4</v>
      </c>
      <c r="O55" s="4"/>
      <c r="P55" s="4"/>
      <c r="Q55" s="4"/>
    </row>
    <row r="56" spans="3:17" x14ac:dyDescent="0.25">
      <c r="C56" s="4" t="s">
        <v>501</v>
      </c>
      <c r="D56" s="4" t="s">
        <v>18</v>
      </c>
      <c r="E56" s="4" t="s">
        <v>21</v>
      </c>
      <c r="F56" s="4">
        <v>326</v>
      </c>
      <c r="G56" s="4">
        <v>6</v>
      </c>
      <c r="H56" s="4">
        <f t="shared" si="3"/>
        <v>314</v>
      </c>
      <c r="I56" s="6">
        <f t="shared" si="0"/>
        <v>77.397859999999994</v>
      </c>
      <c r="J56" s="4">
        <v>0.2</v>
      </c>
      <c r="K56" s="4">
        <f t="shared" si="1"/>
        <v>7.9617834394904463E-4</v>
      </c>
      <c r="L56" s="4">
        <f t="shared" si="2"/>
        <v>7.7397859999999999E-2</v>
      </c>
      <c r="M56" s="4">
        <v>0.25</v>
      </c>
      <c r="N56" s="4">
        <f>Tabelle1[[#This Row],[Pipe roughness coefficient k]]/Tabelle1[[#This Row],[Inside diameter '[mm']]]</f>
        <v>6.3694267515923574E-4</v>
      </c>
      <c r="O56" s="4"/>
      <c r="P56" s="4"/>
      <c r="Q56" s="4"/>
    </row>
    <row r="57" spans="3:17" x14ac:dyDescent="0.25">
      <c r="C57" s="4" t="s">
        <v>501</v>
      </c>
      <c r="D57" s="4" t="s">
        <v>20</v>
      </c>
      <c r="E57" s="4" t="s">
        <v>21</v>
      </c>
      <c r="F57" s="4">
        <v>429</v>
      </c>
      <c r="G57" s="4">
        <v>8.1</v>
      </c>
      <c r="H57" s="4">
        <f t="shared" si="3"/>
        <v>412.8</v>
      </c>
      <c r="I57" s="6">
        <f t="shared" si="0"/>
        <v>133.76701439999999</v>
      </c>
      <c r="J57" s="4">
        <v>0.2</v>
      </c>
      <c r="K57" s="4">
        <f t="shared" si="1"/>
        <v>6.0562015503875968E-4</v>
      </c>
      <c r="L57" s="4">
        <f t="shared" si="2"/>
        <v>0.13376701439999999</v>
      </c>
      <c r="M57" s="4">
        <v>0.25</v>
      </c>
      <c r="N57" s="4">
        <f>Tabelle1[[#This Row],[Pipe roughness coefficient k]]/Tabelle1[[#This Row],[Inside diameter '[mm']]]</f>
        <v>4.8449612403100775E-4</v>
      </c>
      <c r="O57" s="4"/>
      <c r="P57" s="4"/>
      <c r="Q57" s="4"/>
    </row>
    <row r="58" spans="3:17" x14ac:dyDescent="0.25">
      <c r="C58" s="4" t="s">
        <v>501</v>
      </c>
      <c r="D58" s="4" t="s">
        <v>23</v>
      </c>
      <c r="E58" s="4" t="s">
        <v>21</v>
      </c>
      <c r="F58" s="4">
        <v>532</v>
      </c>
      <c r="G58" s="4">
        <v>9</v>
      </c>
      <c r="H58" s="4">
        <f t="shared" si="3"/>
        <v>514</v>
      </c>
      <c r="I58" s="6">
        <f t="shared" si="0"/>
        <v>207.39385999999999</v>
      </c>
      <c r="J58" s="4">
        <v>0.2</v>
      </c>
      <c r="K58" s="4">
        <f t="shared" si="1"/>
        <v>4.8638132295719845E-4</v>
      </c>
      <c r="L58" s="4">
        <f t="shared" si="2"/>
        <v>0.20739385999999999</v>
      </c>
      <c r="M58" s="4">
        <v>0.25</v>
      </c>
      <c r="N58" s="4">
        <f>Tabelle1[[#This Row],[Pipe roughness coefficient k]]/Tabelle1[[#This Row],[Inside diameter '[mm']]]</f>
        <v>3.8910505836575878E-4</v>
      </c>
      <c r="O58" s="4"/>
      <c r="P58" s="4"/>
      <c r="Q58" s="4"/>
    </row>
    <row r="59" spans="3:17" x14ac:dyDescent="0.25">
      <c r="C59" s="4" t="s">
        <v>501</v>
      </c>
      <c r="D59" s="4" t="s">
        <v>24</v>
      </c>
      <c r="E59" s="4" t="s">
        <v>21</v>
      </c>
      <c r="F59" s="4">
        <v>635</v>
      </c>
      <c r="G59" s="4">
        <v>9.9</v>
      </c>
      <c r="H59" s="4">
        <f t="shared" si="3"/>
        <v>615.20000000000005</v>
      </c>
      <c r="I59" s="6">
        <f t="shared" si="0"/>
        <v>297.09976640000008</v>
      </c>
      <c r="J59" s="4">
        <v>0.2</v>
      </c>
      <c r="K59" s="4">
        <f t="shared" si="1"/>
        <v>4.0637191157347202E-4</v>
      </c>
      <c r="L59" s="4">
        <f t="shared" si="2"/>
        <v>0.29709976640000008</v>
      </c>
      <c r="M59" s="4">
        <v>0.25</v>
      </c>
      <c r="N59" s="4">
        <f>Tabelle1[[#This Row],[Pipe roughness coefficient k]]/Tabelle1[[#This Row],[Inside diameter '[mm']]]</f>
        <v>3.2509752925877764E-4</v>
      </c>
      <c r="O59" s="4"/>
      <c r="P59" s="4"/>
      <c r="Q59" s="4"/>
    </row>
    <row r="60" spans="3:17" x14ac:dyDescent="0.25">
      <c r="C60" s="4" t="s">
        <v>502</v>
      </c>
      <c r="D60" s="4" t="s">
        <v>1</v>
      </c>
      <c r="E60" s="4" t="s">
        <v>25</v>
      </c>
      <c r="F60" s="4">
        <v>17.2</v>
      </c>
      <c r="G60" s="4">
        <v>1.8</v>
      </c>
      <c r="H60" s="4">
        <f t="shared" si="3"/>
        <v>13.6</v>
      </c>
      <c r="I60" s="6">
        <f t="shared" si="0"/>
        <v>0.14519359999999998</v>
      </c>
      <c r="J60" s="4">
        <v>0.05</v>
      </c>
      <c r="K60" s="4">
        <f>M60/H60</f>
        <v>1.8382352941176471E-2</v>
      </c>
      <c r="L60" s="4">
        <f t="shared" si="2"/>
        <v>1.4519359999999999E-4</v>
      </c>
      <c r="M60" s="4">
        <v>0.25</v>
      </c>
      <c r="N60" s="4">
        <f>Tabelle1[[#This Row],[Pipe roughness coefficient k]]/Tabelle1[[#This Row],[Inside diameter '[mm']]]</f>
        <v>3.6764705882352945E-3</v>
      </c>
      <c r="O60" s="4">
        <f>(Tabelle1[[#This Row],[Wall thickness '[mm']  ]]+(Tabelle1[[#This Row],[Inside diameter '[mm']]])*2)</f>
        <v>29</v>
      </c>
      <c r="P60" s="4"/>
      <c r="Q60" s="4"/>
    </row>
    <row r="61" spans="3:17" x14ac:dyDescent="0.25">
      <c r="C61" s="4" t="s">
        <v>502</v>
      </c>
      <c r="D61" s="4" t="s">
        <v>3</v>
      </c>
      <c r="E61" s="4" t="s">
        <v>25</v>
      </c>
      <c r="F61" s="4">
        <v>21.3</v>
      </c>
      <c r="G61" s="4">
        <v>2</v>
      </c>
      <c r="H61" s="4">
        <f t="shared" si="3"/>
        <v>17.3</v>
      </c>
      <c r="I61" s="6">
        <f t="shared" si="0"/>
        <v>0.23494264999999998</v>
      </c>
      <c r="J61" s="4">
        <v>0.05</v>
      </c>
      <c r="K61" s="4">
        <f t="shared" ref="K61:K92" si="4">M61/H61</f>
        <v>1.4450867052023121E-2</v>
      </c>
      <c r="L61" s="4">
        <f t="shared" si="2"/>
        <v>2.3494264999999998E-4</v>
      </c>
      <c r="M61" s="4">
        <v>0.25</v>
      </c>
      <c r="N61" s="4">
        <f>Tabelle1[[#This Row],[Pipe roughness coefficient k]]/Tabelle1[[#This Row],[Inside diameter '[mm']]]</f>
        <v>2.8901734104046241E-3</v>
      </c>
      <c r="O61" s="4">
        <f>(Tabelle1[[#This Row],[Wall thickness '[mm']  ]]+(Tabelle1[[#This Row],[Inside diameter '[mm']]])*2)</f>
        <v>36.6</v>
      </c>
      <c r="P61" s="4">
        <f>'7'!P9</f>
        <v>260</v>
      </c>
      <c r="Q61" s="4">
        <f>Tabelle1[[#This Row],[Overall length of fittings gate valve &amp; non-return flap '[mm']]]+Tabelle1[[#This Row],[Height of bend 3*D '[mm']]]</f>
        <v>296.60000000000002</v>
      </c>
    </row>
    <row r="62" spans="3:17" x14ac:dyDescent="0.25">
      <c r="C62" s="4" t="s">
        <v>502</v>
      </c>
      <c r="D62" s="4" t="s">
        <v>4</v>
      </c>
      <c r="E62" s="4" t="s">
        <v>25</v>
      </c>
      <c r="F62" s="4">
        <v>26.9</v>
      </c>
      <c r="G62" s="4">
        <v>2</v>
      </c>
      <c r="H62" s="4">
        <f t="shared" si="3"/>
        <v>22.9</v>
      </c>
      <c r="I62" s="6">
        <f t="shared" si="0"/>
        <v>0.41166185000000005</v>
      </c>
      <c r="J62" s="4">
        <v>0.05</v>
      </c>
      <c r="K62" s="4">
        <f t="shared" si="4"/>
        <v>1.0917030567685591E-2</v>
      </c>
      <c r="L62" s="4">
        <f t="shared" si="2"/>
        <v>4.1166185000000003E-4</v>
      </c>
      <c r="M62" s="4">
        <v>0.25</v>
      </c>
      <c r="N62" s="4">
        <f>Tabelle1[[#This Row],[Pipe roughness coefficient k]]/Tabelle1[[#This Row],[Inside diameter '[mm']]]</f>
        <v>2.1834061135371182E-3</v>
      </c>
      <c r="O62" s="4">
        <f>(Tabelle1[[#This Row],[Wall thickness '[mm']  ]]+(Tabelle1[[#This Row],[Inside diameter '[mm']]])*2)</f>
        <v>47.8</v>
      </c>
      <c r="P62" s="4">
        <f>'7'!P10</f>
        <v>300</v>
      </c>
      <c r="Q62" s="4">
        <f>Tabelle1[[#This Row],[Overall length of fittings gate valve &amp; non-return flap '[mm']]]+Tabelle1[[#This Row],[Height of bend 3*D '[mm']]]</f>
        <v>347.8</v>
      </c>
    </row>
    <row r="63" spans="3:17" x14ac:dyDescent="0.25">
      <c r="C63" s="4" t="s">
        <v>502</v>
      </c>
      <c r="D63" s="4" t="s">
        <v>5</v>
      </c>
      <c r="E63" s="4" t="s">
        <v>25</v>
      </c>
      <c r="F63" s="4">
        <v>33.700000000000003</v>
      </c>
      <c r="G63" s="4">
        <v>2</v>
      </c>
      <c r="H63" s="4">
        <f t="shared" si="3"/>
        <v>29.700000000000003</v>
      </c>
      <c r="I63" s="6">
        <f t="shared" si="0"/>
        <v>0.69244065000000021</v>
      </c>
      <c r="J63" s="4">
        <v>0.05</v>
      </c>
      <c r="K63" s="4">
        <f t="shared" si="4"/>
        <v>8.4175084175084174E-3</v>
      </c>
      <c r="L63" s="4">
        <f t="shared" si="2"/>
        <v>6.9244065000000023E-4</v>
      </c>
      <c r="M63" s="4">
        <v>0.25</v>
      </c>
      <c r="N63" s="4">
        <f>Tabelle1[[#This Row],[Pipe roughness coefficient k]]/Tabelle1[[#This Row],[Inside diameter '[mm']]]</f>
        <v>1.6835016835016834E-3</v>
      </c>
      <c r="O63" s="4">
        <f>(Tabelle1[[#This Row],[Wall thickness '[mm']  ]]+(Tabelle1[[#This Row],[Inside diameter '[mm']]])*2)</f>
        <v>61.400000000000006</v>
      </c>
      <c r="P63" s="4">
        <f>'7'!P11</f>
        <v>320</v>
      </c>
      <c r="Q63" s="4">
        <f>Tabelle1[[#This Row],[Overall length of fittings gate valve &amp; non-return flap '[mm']]]+Tabelle1[[#This Row],[Height of bend 3*D '[mm']]]</f>
        <v>381.4</v>
      </c>
    </row>
    <row r="64" spans="3:17" x14ac:dyDescent="0.25">
      <c r="C64" s="4" t="s">
        <v>502</v>
      </c>
      <c r="D64" s="4" t="s">
        <v>6</v>
      </c>
      <c r="E64" s="4" t="s">
        <v>25</v>
      </c>
      <c r="F64" s="4">
        <v>42.4</v>
      </c>
      <c r="G64" s="4">
        <v>2.2999999999999998</v>
      </c>
      <c r="H64" s="4">
        <f t="shared" si="3"/>
        <v>37.799999999999997</v>
      </c>
      <c r="I64" s="6">
        <f t="shared" si="0"/>
        <v>1.1216394000000001</v>
      </c>
      <c r="J64" s="4">
        <v>0.05</v>
      </c>
      <c r="K64" s="4">
        <f t="shared" si="4"/>
        <v>6.6137566137566143E-3</v>
      </c>
      <c r="L64" s="4">
        <f t="shared" si="2"/>
        <v>1.1216394000000001E-3</v>
      </c>
      <c r="M64" s="4">
        <v>0.25</v>
      </c>
      <c r="N64" s="4">
        <f>Tabelle1[[#This Row],[Pipe roughness coefficient k]]/Tabelle1[[#This Row],[Inside diameter '[mm']]]</f>
        <v>1.3227513227513229E-3</v>
      </c>
      <c r="O64" s="4">
        <f>(Tabelle1[[#This Row],[Wall thickness '[mm']  ]]+(Tabelle1[[#This Row],[Inside diameter '[mm']]])*2)</f>
        <v>77.899999999999991</v>
      </c>
      <c r="P64" s="4">
        <f>'7'!P12</f>
        <v>360</v>
      </c>
      <c r="Q64" s="4">
        <f>Tabelle1[[#This Row],[Overall length of fittings gate valve &amp; non-return flap '[mm']]]+Tabelle1[[#This Row],[Height of bend 3*D '[mm']]]</f>
        <v>437.9</v>
      </c>
    </row>
    <row r="65" spans="3:17" x14ac:dyDescent="0.25">
      <c r="C65" s="4" t="s">
        <v>502</v>
      </c>
      <c r="D65" s="4" t="s">
        <v>7</v>
      </c>
      <c r="E65" s="4" t="s">
        <v>25</v>
      </c>
      <c r="F65" s="4">
        <v>48.3</v>
      </c>
      <c r="G65" s="4">
        <v>2.2999999999999998</v>
      </c>
      <c r="H65" s="4">
        <f t="shared" si="3"/>
        <v>43.699999999999996</v>
      </c>
      <c r="I65" s="6">
        <f t="shared" si="0"/>
        <v>1.4991066499999999</v>
      </c>
      <c r="J65" s="4">
        <v>0.05</v>
      </c>
      <c r="K65" s="4">
        <f t="shared" si="4"/>
        <v>5.720823798627003E-3</v>
      </c>
      <c r="L65" s="4">
        <f t="shared" si="2"/>
        <v>1.4991066499999998E-3</v>
      </c>
      <c r="M65" s="4">
        <v>0.25</v>
      </c>
      <c r="N65" s="4">
        <f>Tabelle1[[#This Row],[Pipe roughness coefficient k]]/Tabelle1[[#This Row],[Inside diameter '[mm']]]</f>
        <v>1.1441647597254007E-3</v>
      </c>
      <c r="O65" s="4">
        <f>(Tabelle1[[#This Row],[Wall thickness '[mm']  ]]+(Tabelle1[[#This Row],[Inside diameter '[mm']]])*2)</f>
        <v>89.699999999999989</v>
      </c>
      <c r="P65" s="4">
        <f>'7'!P13</f>
        <v>400</v>
      </c>
      <c r="Q65" s="4">
        <f>Tabelle1[[#This Row],[Overall length of fittings gate valve &amp; non-return flap '[mm']]]+Tabelle1[[#This Row],[Height of bend 3*D '[mm']]]</f>
        <v>489.7</v>
      </c>
    </row>
    <row r="66" spans="3:17" x14ac:dyDescent="0.25">
      <c r="C66" s="4" t="s">
        <v>502</v>
      </c>
      <c r="D66" s="4" t="s">
        <v>8</v>
      </c>
      <c r="E66" s="4" t="s">
        <v>25</v>
      </c>
      <c r="F66" s="4">
        <v>60.3</v>
      </c>
      <c r="G66" s="4">
        <v>2.2999999999999998</v>
      </c>
      <c r="H66" s="4">
        <f t="shared" si="3"/>
        <v>55.699999999999996</v>
      </c>
      <c r="I66" s="6">
        <f t="shared" si="0"/>
        <v>2.4354546499999992</v>
      </c>
      <c r="J66" s="4">
        <v>0.05</v>
      </c>
      <c r="K66" s="4">
        <f t="shared" si="4"/>
        <v>4.4883303411131061E-3</v>
      </c>
      <c r="L66" s="4">
        <f t="shared" si="2"/>
        <v>2.4354546499999992E-3</v>
      </c>
      <c r="M66" s="4">
        <v>0.25</v>
      </c>
      <c r="N66" s="4">
        <f>Tabelle1[[#This Row],[Pipe roughness coefficient k]]/Tabelle1[[#This Row],[Inside diameter '[mm']]]</f>
        <v>8.9766606822262133E-4</v>
      </c>
      <c r="O66" s="4">
        <f>(Tabelle1[[#This Row],[Wall thickness '[mm']  ]]+(Tabelle1[[#This Row],[Inside diameter '[mm']]])*2)</f>
        <v>113.69999999999999</v>
      </c>
      <c r="P66" s="4">
        <f>'7'!P14</f>
        <v>460</v>
      </c>
      <c r="Q66" s="4">
        <f>Tabelle1[[#This Row],[Overall length of fittings gate valve &amp; non-return flap '[mm']]]+Tabelle1[[#This Row],[Height of bend 3*D '[mm']]]</f>
        <v>573.70000000000005</v>
      </c>
    </row>
    <row r="67" spans="3:17" x14ac:dyDescent="0.25">
      <c r="C67" s="4" t="s">
        <v>502</v>
      </c>
      <c r="D67" s="4" t="s">
        <v>9</v>
      </c>
      <c r="E67" s="4" t="s">
        <v>25</v>
      </c>
      <c r="F67" s="4">
        <v>76.099999999999994</v>
      </c>
      <c r="G67" s="4">
        <v>2.6</v>
      </c>
      <c r="H67" s="4">
        <f t="shared" si="3"/>
        <v>70.899999999999991</v>
      </c>
      <c r="I67" s="6">
        <f t="shared" ref="I67:I102" si="5">0.785*((H67/1000)^2)*1000</f>
        <v>3.9460458499999986</v>
      </c>
      <c r="J67" s="4">
        <v>0.05</v>
      </c>
      <c r="K67" s="4">
        <f t="shared" si="4"/>
        <v>3.5260930888575464E-3</v>
      </c>
      <c r="L67" s="4">
        <f t="shared" si="2"/>
        <v>3.9460458499999988E-3</v>
      </c>
      <c r="M67" s="4">
        <v>0.25</v>
      </c>
      <c r="N67" s="4">
        <f>Tabelle1[[#This Row],[Pipe roughness coefficient k]]/Tabelle1[[#This Row],[Inside diameter '[mm']]]</f>
        <v>7.0521861777150926E-4</v>
      </c>
      <c r="O67" s="4">
        <f>(Tabelle1[[#This Row],[Wall thickness '[mm']  ]]+(Tabelle1[[#This Row],[Inside diameter '[mm']]])*2)</f>
        <v>144.39999999999998</v>
      </c>
      <c r="P67" s="4">
        <f>'7'!P15</f>
        <v>580</v>
      </c>
      <c r="Q67" s="4">
        <f>Tabelle1[[#This Row],[Overall length of fittings gate valve &amp; non-return flap '[mm']]]+Tabelle1[[#This Row],[Height of bend 3*D '[mm']]]</f>
        <v>724.4</v>
      </c>
    </row>
    <row r="68" spans="3:17" x14ac:dyDescent="0.25">
      <c r="C68" s="4" t="s">
        <v>502</v>
      </c>
      <c r="D68" s="4" t="s">
        <v>10</v>
      </c>
      <c r="E68" s="4" t="s">
        <v>25</v>
      </c>
      <c r="F68" s="4">
        <v>88.9</v>
      </c>
      <c r="G68" s="4">
        <v>2.9</v>
      </c>
      <c r="H68" s="4">
        <f t="shared" si="3"/>
        <v>83.100000000000009</v>
      </c>
      <c r="I68" s="6">
        <f t="shared" si="5"/>
        <v>5.4209038500000011</v>
      </c>
      <c r="J68" s="4">
        <v>0.05</v>
      </c>
      <c r="K68" s="4">
        <f t="shared" si="4"/>
        <v>3.0084235860409142E-3</v>
      </c>
      <c r="L68" s="4">
        <f t="shared" ref="L68:L92" si="6">(0.785*((H68/1000)^2))</f>
        <v>5.4209038500000013E-3</v>
      </c>
      <c r="M68" s="4">
        <v>0.25</v>
      </c>
      <c r="N68" s="4">
        <f>Tabelle1[[#This Row],[Pipe roughness coefficient k]]/Tabelle1[[#This Row],[Inside diameter '[mm']]]</f>
        <v>6.0168471720818293E-4</v>
      </c>
      <c r="O68" s="4">
        <f>(Tabelle1[[#This Row],[Wall thickness '[mm']  ]]+(Tabelle1[[#This Row],[Inside diameter '[mm']]])*2)</f>
        <v>169.10000000000002</v>
      </c>
      <c r="P68" s="4">
        <f>'7'!P16</f>
        <v>620</v>
      </c>
      <c r="Q68" s="4">
        <f>Tabelle1[[#This Row],[Overall length of fittings gate valve &amp; non-return flap '[mm']]]+Tabelle1[[#This Row],[Height of bend 3*D '[mm']]]</f>
        <v>789.1</v>
      </c>
    </row>
    <row r="69" spans="3:17" x14ac:dyDescent="0.25">
      <c r="C69" s="4" t="s">
        <v>502</v>
      </c>
      <c r="D69" s="4" t="s">
        <v>11</v>
      </c>
      <c r="E69" s="4" t="s">
        <v>25</v>
      </c>
      <c r="F69" s="4">
        <v>114.3</v>
      </c>
      <c r="G69" s="4">
        <v>3.2</v>
      </c>
      <c r="H69" s="4">
        <f t="shared" si="3"/>
        <v>107.89999999999999</v>
      </c>
      <c r="I69" s="6">
        <f t="shared" si="5"/>
        <v>9.1392918499999993</v>
      </c>
      <c r="J69" s="4">
        <v>0.05</v>
      </c>
      <c r="K69" s="4">
        <f t="shared" si="4"/>
        <v>2.3169601482854497E-3</v>
      </c>
      <c r="L69" s="4">
        <f t="shared" si="6"/>
        <v>9.13929185E-3</v>
      </c>
      <c r="M69" s="4">
        <v>0.25</v>
      </c>
      <c r="N69" s="4">
        <f>Tabelle1[[#This Row],[Pipe roughness coefficient k]]/Tabelle1[[#This Row],[Inside diameter '[mm']]]</f>
        <v>4.6339202965708996E-4</v>
      </c>
      <c r="O69" s="4">
        <f>(Tabelle1[[#This Row],[Wall thickness '[mm']  ]]+(Tabelle1[[#This Row],[Inside diameter '[mm']]])*2)</f>
        <v>218.99999999999997</v>
      </c>
      <c r="P69" s="4">
        <f>'7'!P17</f>
        <v>700</v>
      </c>
      <c r="Q69" s="4">
        <f>Tabelle1[[#This Row],[Overall length of fittings gate valve &amp; non-return flap '[mm']]]+Tabelle1[[#This Row],[Height of bend 3*D '[mm']]]</f>
        <v>919</v>
      </c>
    </row>
    <row r="70" spans="3:17" x14ac:dyDescent="0.25">
      <c r="C70" s="4" t="s">
        <v>502</v>
      </c>
      <c r="D70" s="4" t="s">
        <v>12</v>
      </c>
      <c r="E70" s="4" t="s">
        <v>25</v>
      </c>
      <c r="F70" s="4">
        <v>139.69999999999999</v>
      </c>
      <c r="G70" s="4">
        <v>3.6</v>
      </c>
      <c r="H70" s="4">
        <f t="shared" si="3"/>
        <v>132.5</v>
      </c>
      <c r="I70" s="6">
        <f t="shared" si="5"/>
        <v>13.781656250000003</v>
      </c>
      <c r="J70" s="4">
        <v>0.05</v>
      </c>
      <c r="K70" s="4">
        <f t="shared" si="4"/>
        <v>1.8867924528301887E-3</v>
      </c>
      <c r="L70" s="4">
        <f t="shared" si="6"/>
        <v>1.3781656250000003E-2</v>
      </c>
      <c r="M70" s="4">
        <v>0.25</v>
      </c>
      <c r="N70" s="4">
        <f>Tabelle1[[#This Row],[Pipe roughness coefficient k]]/Tabelle1[[#This Row],[Inside diameter '[mm']]]</f>
        <v>3.7735849056603777E-4</v>
      </c>
      <c r="O70" s="4">
        <f>(Tabelle1[[#This Row],[Wall thickness '[mm']  ]]+(Tabelle1[[#This Row],[Inside diameter '[mm']]])*2)</f>
        <v>268.60000000000002</v>
      </c>
      <c r="P70" s="4">
        <f>'7'!P18</f>
        <v>800</v>
      </c>
      <c r="Q70" s="4">
        <f>Tabelle1[[#This Row],[Overall length of fittings gate valve &amp; non-return flap '[mm']]]+Tabelle1[[#This Row],[Height of bend 3*D '[mm']]]</f>
        <v>1068.5999999999999</v>
      </c>
    </row>
    <row r="71" spans="3:17" x14ac:dyDescent="0.25">
      <c r="C71" s="4" t="s">
        <v>502</v>
      </c>
      <c r="D71" s="4" t="s">
        <v>13</v>
      </c>
      <c r="E71" s="4" t="s">
        <v>25</v>
      </c>
      <c r="F71" s="4">
        <v>168.3</v>
      </c>
      <c r="G71" s="4">
        <v>4</v>
      </c>
      <c r="H71" s="4">
        <f t="shared" si="3"/>
        <v>160.30000000000001</v>
      </c>
      <c r="I71" s="6">
        <f t="shared" si="5"/>
        <v>20.171430649999998</v>
      </c>
      <c r="J71" s="4">
        <v>0.05</v>
      </c>
      <c r="K71" s="4">
        <f t="shared" si="4"/>
        <v>1.5595757953836555E-3</v>
      </c>
      <c r="L71" s="4">
        <f t="shared" si="6"/>
        <v>2.0171430649999999E-2</v>
      </c>
      <c r="M71" s="4">
        <v>0.25</v>
      </c>
      <c r="N71" s="4">
        <f>Tabelle1[[#This Row],[Pipe roughness coefficient k]]/Tabelle1[[#This Row],[Inside diameter '[mm']]]</f>
        <v>3.1191515907673113E-4</v>
      </c>
      <c r="O71" s="4">
        <f>(Tabelle1[[#This Row],[Wall thickness '[mm']  ]]+(Tabelle1[[#This Row],[Inside diameter '[mm']]])*2)</f>
        <v>324.60000000000002</v>
      </c>
      <c r="P71" s="4">
        <f>'7'!P19</f>
        <v>960</v>
      </c>
      <c r="Q71" s="4">
        <f>Tabelle1[[#This Row],[Overall length of fittings gate valve &amp; non-return flap '[mm']]]+Tabelle1[[#This Row],[Height of bend 3*D '[mm']]]</f>
        <v>1284.5999999999999</v>
      </c>
    </row>
    <row r="72" spans="3:17" x14ac:dyDescent="0.25">
      <c r="C72" s="4" t="s">
        <v>502</v>
      </c>
      <c r="D72" s="4" t="s">
        <v>14</v>
      </c>
      <c r="E72" s="4" t="s">
        <v>25</v>
      </c>
      <c r="F72" s="4">
        <v>219.1</v>
      </c>
      <c r="G72" s="4">
        <v>4.5</v>
      </c>
      <c r="H72" s="4">
        <f t="shared" si="3"/>
        <v>210.1</v>
      </c>
      <c r="I72" s="6">
        <f t="shared" si="5"/>
        <v>34.651477849999999</v>
      </c>
      <c r="J72" s="4">
        <v>0.05</v>
      </c>
      <c r="K72" s="4">
        <f t="shared" si="4"/>
        <v>1.1899095668729176E-3</v>
      </c>
      <c r="L72" s="4">
        <f t="shared" si="6"/>
        <v>3.4651477850000001E-2</v>
      </c>
      <c r="M72" s="4">
        <v>0.25</v>
      </c>
      <c r="N72" s="4">
        <f>Tabelle1[[#This Row],[Pipe roughness coefficient k]]/Tabelle1[[#This Row],[Inside diameter '[mm']]]</f>
        <v>2.3798191337458355E-4</v>
      </c>
      <c r="O72" s="4">
        <f>(Tabelle1[[#This Row],[Wall thickness '[mm']  ]]+(Tabelle1[[#This Row],[Inside diameter '[mm']]])*2)</f>
        <v>424.7</v>
      </c>
      <c r="P72" s="4">
        <f>'7'!P20</f>
        <v>1200</v>
      </c>
      <c r="Q72" s="4">
        <f>Tabelle1[[#This Row],[Overall length of fittings gate valve &amp; non-return flap '[mm']]]+Tabelle1[[#This Row],[Height of bend 3*D '[mm']]]</f>
        <v>1624.7</v>
      </c>
    </row>
    <row r="73" spans="3:17" x14ac:dyDescent="0.25">
      <c r="C73" s="4" t="s">
        <v>502</v>
      </c>
      <c r="D73" s="4" t="s">
        <v>15</v>
      </c>
      <c r="E73" s="4" t="s">
        <v>25</v>
      </c>
      <c r="F73" s="4">
        <v>273</v>
      </c>
      <c r="G73" s="4">
        <v>5</v>
      </c>
      <c r="H73" s="4">
        <f t="shared" si="3"/>
        <v>263</v>
      </c>
      <c r="I73" s="6">
        <f t="shared" si="5"/>
        <v>54.297665000000009</v>
      </c>
      <c r="J73" s="4">
        <v>0.05</v>
      </c>
      <c r="K73" s="4">
        <f t="shared" si="4"/>
        <v>9.5057034220532319E-4</v>
      </c>
      <c r="L73" s="4">
        <f t="shared" si="6"/>
        <v>5.4297665000000009E-2</v>
      </c>
      <c r="M73" s="4">
        <v>0.25</v>
      </c>
      <c r="N73" s="4">
        <f>Tabelle1[[#This Row],[Pipe roughness coefficient k]]/Tabelle1[[#This Row],[Inside diameter '[mm']]]</f>
        <v>1.9011406844106465E-4</v>
      </c>
      <c r="O73" s="4">
        <f>(Tabelle1[[#This Row],[Wall thickness '[mm']  ]]+(Tabelle1[[#This Row],[Inside diameter '[mm']]])*2)</f>
        <v>531</v>
      </c>
      <c r="P73" s="4">
        <f>'7'!P21</f>
        <v>1460</v>
      </c>
      <c r="Q73" s="4">
        <f>Tabelle1[[#This Row],[Overall length of fittings gate valve &amp; non-return flap '[mm']]]+Tabelle1[[#This Row],[Height of bend 3*D '[mm']]]</f>
        <v>1991</v>
      </c>
    </row>
    <row r="74" spans="3:17" x14ac:dyDescent="0.25">
      <c r="C74" s="4" t="s">
        <v>502</v>
      </c>
      <c r="D74" s="4" t="s">
        <v>18</v>
      </c>
      <c r="E74" s="4" t="s">
        <v>25</v>
      </c>
      <c r="F74" s="4">
        <v>323.89999999999998</v>
      </c>
      <c r="G74" s="4">
        <v>5.6</v>
      </c>
      <c r="H74" s="4">
        <f t="shared" si="3"/>
        <v>312.7</v>
      </c>
      <c r="I74" s="6">
        <f t="shared" si="5"/>
        <v>76.758312649999993</v>
      </c>
      <c r="J74" s="4">
        <v>0.05</v>
      </c>
      <c r="K74" s="4">
        <f t="shared" si="4"/>
        <v>7.9948832747041895E-4</v>
      </c>
      <c r="L74" s="4">
        <f t="shared" si="6"/>
        <v>7.6758312649999993E-2</v>
      </c>
      <c r="M74" s="4">
        <v>0.25</v>
      </c>
      <c r="N74" s="4">
        <f>Tabelle1[[#This Row],[Pipe roughness coefficient k]]/Tabelle1[[#This Row],[Inside diameter '[mm']]]</f>
        <v>1.5989766549408379E-4</v>
      </c>
      <c r="O74" s="4">
        <f>(Tabelle1[[#This Row],[Wall thickness '[mm']  ]]+(Tabelle1[[#This Row],[Inside diameter '[mm']]])*2)</f>
        <v>631</v>
      </c>
      <c r="P74" s="4"/>
      <c r="Q74" s="4"/>
    </row>
    <row r="75" spans="3:17" x14ac:dyDescent="0.25">
      <c r="C75" s="4" t="s">
        <v>502</v>
      </c>
      <c r="D75" s="4" t="s">
        <v>19</v>
      </c>
      <c r="E75" s="4" t="s">
        <v>25</v>
      </c>
      <c r="F75" s="4">
        <v>355.6</v>
      </c>
      <c r="G75" s="4">
        <v>5.6</v>
      </c>
      <c r="H75" s="4">
        <f t="shared" si="3"/>
        <v>344.40000000000003</v>
      </c>
      <c r="I75" s="6">
        <f t="shared" si="5"/>
        <v>93.109917600000017</v>
      </c>
      <c r="J75" s="4">
        <v>0.05</v>
      </c>
      <c r="K75" s="4">
        <f t="shared" si="4"/>
        <v>7.2590011614401847E-4</v>
      </c>
      <c r="L75" s="4">
        <f t="shared" si="6"/>
        <v>9.3109917600000022E-2</v>
      </c>
      <c r="M75" s="4">
        <v>0.25</v>
      </c>
      <c r="N75" s="4">
        <f>Tabelle1[[#This Row],[Pipe roughness coefficient k]]/Tabelle1[[#This Row],[Inside diameter '[mm']]]</f>
        <v>1.4518002322880372E-4</v>
      </c>
      <c r="O75" s="4">
        <f>(Tabelle1[[#This Row],[Wall thickness '[mm']  ]]+(Tabelle1[[#This Row],[Inside diameter '[mm']]])*2)</f>
        <v>694.40000000000009</v>
      </c>
      <c r="P75" s="4"/>
      <c r="Q75" s="4"/>
    </row>
    <row r="76" spans="3:17" x14ac:dyDescent="0.25">
      <c r="C76" s="4" t="s">
        <v>502</v>
      </c>
      <c r="D76" s="4" t="s">
        <v>20</v>
      </c>
      <c r="E76" s="4" t="s">
        <v>25</v>
      </c>
      <c r="F76" s="4">
        <v>406.4</v>
      </c>
      <c r="G76" s="4">
        <v>6.3</v>
      </c>
      <c r="H76" s="4">
        <f t="shared" si="3"/>
        <v>393.79999999999995</v>
      </c>
      <c r="I76" s="6">
        <f t="shared" si="5"/>
        <v>121.73657539999998</v>
      </c>
      <c r="J76" s="4">
        <v>0.05</v>
      </c>
      <c r="K76" s="4">
        <f t="shared" si="4"/>
        <v>6.3484002031488076E-4</v>
      </c>
      <c r="L76" s="4">
        <f t="shared" si="6"/>
        <v>0.12173657539999998</v>
      </c>
      <c r="M76" s="4">
        <v>0.25</v>
      </c>
      <c r="N76" s="4">
        <f>Tabelle1[[#This Row],[Pipe roughness coefficient k]]/Tabelle1[[#This Row],[Inside diameter '[mm']]]</f>
        <v>1.2696800406297615E-4</v>
      </c>
      <c r="O76" s="4">
        <f>(Tabelle1[[#This Row],[Wall thickness '[mm']  ]]+(Tabelle1[[#This Row],[Inside diameter '[mm']]])*2)</f>
        <v>793.89999999999986</v>
      </c>
      <c r="P76" s="4"/>
      <c r="Q76" s="4"/>
    </row>
    <row r="77" spans="3:17" x14ac:dyDescent="0.25">
      <c r="C77" s="4" t="s">
        <v>502</v>
      </c>
      <c r="D77" s="4" t="s">
        <v>23</v>
      </c>
      <c r="E77" s="4" t="s">
        <v>25</v>
      </c>
      <c r="F77" s="4">
        <v>508</v>
      </c>
      <c r="G77" s="4">
        <v>6.3</v>
      </c>
      <c r="H77" s="4">
        <f t="shared" si="3"/>
        <v>495.4</v>
      </c>
      <c r="I77" s="6">
        <f t="shared" si="5"/>
        <v>192.65561059999996</v>
      </c>
      <c r="J77" s="4">
        <v>0.05</v>
      </c>
      <c r="K77" s="4">
        <f t="shared" si="4"/>
        <v>5.0464271295922489E-4</v>
      </c>
      <c r="L77" s="4">
        <f t="shared" si="6"/>
        <v>0.19265561059999997</v>
      </c>
      <c r="M77" s="4">
        <v>0.25</v>
      </c>
      <c r="N77" s="4">
        <f>Tabelle1[[#This Row],[Pipe roughness coefficient k]]/Tabelle1[[#This Row],[Inside diameter '[mm']]]</f>
        <v>1.0092854259184498E-4</v>
      </c>
      <c r="O77" s="4">
        <f>(Tabelle1[[#This Row],[Wall thickness '[mm']  ]]+(Tabelle1[[#This Row],[Inside diameter '[mm']]])*2)</f>
        <v>997.09999999999991</v>
      </c>
      <c r="P77" s="4"/>
      <c r="Q77" s="4"/>
    </row>
    <row r="78" spans="3:17" x14ac:dyDescent="0.25">
      <c r="C78" s="4" t="s">
        <v>502</v>
      </c>
      <c r="D78" s="4" t="s">
        <v>24</v>
      </c>
      <c r="E78" s="4" t="s">
        <v>25</v>
      </c>
      <c r="F78" s="4">
        <v>610</v>
      </c>
      <c r="G78" s="4">
        <v>6.3</v>
      </c>
      <c r="H78" s="4">
        <f t="shared" si="3"/>
        <v>597.4</v>
      </c>
      <c r="I78" s="6">
        <f t="shared" si="5"/>
        <v>280.15610659999993</v>
      </c>
      <c r="J78" s="4">
        <v>0.05</v>
      </c>
      <c r="K78" s="4">
        <f t="shared" si="4"/>
        <v>4.1848008034817542E-4</v>
      </c>
      <c r="L78" s="4">
        <f t="shared" si="6"/>
        <v>0.28015610659999995</v>
      </c>
      <c r="M78" s="4">
        <v>0.25</v>
      </c>
      <c r="N78" s="4">
        <f>Tabelle1[[#This Row],[Pipe roughness coefficient k]]/Tabelle1[[#This Row],[Inside diameter '[mm']]]</f>
        <v>8.369601606963509E-5</v>
      </c>
      <c r="O78" s="4">
        <f>(Tabelle1[[#This Row],[Wall thickness '[mm']  ]]+(Tabelle1[[#This Row],[Inside diameter '[mm']]])*2)</f>
        <v>1201.0999999999999</v>
      </c>
      <c r="P78" s="4"/>
      <c r="Q78" s="4"/>
    </row>
    <row r="79" spans="3:17" x14ac:dyDescent="0.25">
      <c r="C79" s="4" t="s">
        <v>503</v>
      </c>
      <c r="D79" s="4" t="s">
        <v>1</v>
      </c>
      <c r="E79" s="4" t="s">
        <v>26</v>
      </c>
      <c r="F79" s="4">
        <v>12</v>
      </c>
      <c r="G79" s="4">
        <v>1</v>
      </c>
      <c r="H79" s="4">
        <f t="shared" si="3"/>
        <v>10</v>
      </c>
      <c r="I79" s="6">
        <f t="shared" si="5"/>
        <v>7.8500000000000014E-2</v>
      </c>
      <c r="J79" s="4">
        <v>1E-3</v>
      </c>
      <c r="K79" s="4">
        <f t="shared" si="4"/>
        <v>2.5000000000000001E-2</v>
      </c>
      <c r="L79" s="4">
        <f t="shared" si="6"/>
        <v>7.8500000000000011E-5</v>
      </c>
      <c r="M79" s="4">
        <v>0.25</v>
      </c>
      <c r="N79" s="4">
        <f>Tabelle1[[#This Row],[Pipe roughness coefficient k]]/Tabelle1[[#This Row],[Inside diameter '[mm']]]</f>
        <v>1E-4</v>
      </c>
      <c r="O79" s="4">
        <f>(Tabelle1[[#This Row],[Wall thickness '[mm']  ]]+(Tabelle1[[#This Row],[Inside diameter '[mm']]])*2)</f>
        <v>21</v>
      </c>
      <c r="P79" s="4"/>
      <c r="Q79" s="4"/>
    </row>
    <row r="80" spans="3:17" x14ac:dyDescent="0.25">
      <c r="C80" s="4" t="s">
        <v>503</v>
      </c>
      <c r="D80" s="4" t="s">
        <v>3</v>
      </c>
      <c r="E80" s="4" t="s">
        <v>26</v>
      </c>
      <c r="F80" s="4">
        <v>18</v>
      </c>
      <c r="G80" s="4">
        <v>1</v>
      </c>
      <c r="H80" s="4">
        <f t="shared" si="3"/>
        <v>16</v>
      </c>
      <c r="I80" s="6">
        <f t="shared" si="5"/>
        <v>0.20096</v>
      </c>
      <c r="J80" s="4">
        <v>1E-3</v>
      </c>
      <c r="K80" s="4">
        <f t="shared" si="4"/>
        <v>1.5625E-2</v>
      </c>
      <c r="L80" s="4">
        <f t="shared" si="6"/>
        <v>2.0096E-4</v>
      </c>
      <c r="M80" s="4">
        <v>0.25</v>
      </c>
      <c r="N80" s="4">
        <f>Tabelle1[[#This Row],[Pipe roughness coefficient k]]/Tabelle1[[#This Row],[Inside diameter '[mm']]]</f>
        <v>6.2500000000000001E-5</v>
      </c>
      <c r="O80" s="4">
        <f>(Tabelle1[[#This Row],[Wall thickness '[mm']  ]]+(Tabelle1[[#This Row],[Inside diameter '[mm']]])*2)</f>
        <v>33</v>
      </c>
      <c r="P80" s="4">
        <f>'7'!P9</f>
        <v>260</v>
      </c>
      <c r="Q80" s="4">
        <f>Tabelle1[[#This Row],[Overall length of fittings gate valve &amp; non-return flap '[mm']]]+Tabelle1[[#This Row],[Height of bend 3*D '[mm']]]</f>
        <v>293</v>
      </c>
    </row>
    <row r="81" spans="3:17" x14ac:dyDescent="0.25">
      <c r="C81" s="4" t="s">
        <v>503</v>
      </c>
      <c r="D81" s="4" t="s">
        <v>4</v>
      </c>
      <c r="E81" s="4" t="s">
        <v>26</v>
      </c>
      <c r="F81" s="4">
        <v>22</v>
      </c>
      <c r="G81" s="4">
        <v>1</v>
      </c>
      <c r="H81" s="4">
        <f t="shared" si="3"/>
        <v>20</v>
      </c>
      <c r="I81" s="6">
        <f t="shared" si="5"/>
        <v>0.31400000000000006</v>
      </c>
      <c r="J81" s="4">
        <v>1E-3</v>
      </c>
      <c r="K81" s="4">
        <f t="shared" si="4"/>
        <v>1.2500000000000001E-2</v>
      </c>
      <c r="L81" s="4">
        <f t="shared" si="6"/>
        <v>3.1400000000000004E-4</v>
      </c>
      <c r="M81" s="4">
        <v>0.25</v>
      </c>
      <c r="N81" s="4">
        <f>Tabelle1[[#This Row],[Pipe roughness coefficient k]]/Tabelle1[[#This Row],[Inside diameter '[mm']]]</f>
        <v>5.0000000000000002E-5</v>
      </c>
      <c r="O81" s="4">
        <f>(Tabelle1[[#This Row],[Wall thickness '[mm']  ]]+(Tabelle1[[#This Row],[Inside diameter '[mm']]])*2)</f>
        <v>41</v>
      </c>
      <c r="P81" s="4">
        <f>'7'!P10</f>
        <v>300</v>
      </c>
      <c r="Q81" s="4">
        <f>Tabelle1[[#This Row],[Overall length of fittings gate valve &amp; non-return flap '[mm']]]+Tabelle1[[#This Row],[Height of bend 3*D '[mm']]]</f>
        <v>341</v>
      </c>
    </row>
    <row r="82" spans="3:17" x14ac:dyDescent="0.25">
      <c r="C82" s="4" t="s">
        <v>503</v>
      </c>
      <c r="D82" s="4" t="s">
        <v>5</v>
      </c>
      <c r="E82" s="4" t="s">
        <v>26</v>
      </c>
      <c r="F82" s="4">
        <v>28</v>
      </c>
      <c r="G82" s="4">
        <v>1.5</v>
      </c>
      <c r="H82" s="4">
        <f t="shared" si="3"/>
        <v>25</v>
      </c>
      <c r="I82" s="6">
        <f t="shared" si="5"/>
        <v>0.49062500000000009</v>
      </c>
      <c r="J82" s="4">
        <v>1E-3</v>
      </c>
      <c r="K82" s="4">
        <f t="shared" si="4"/>
        <v>0.01</v>
      </c>
      <c r="L82" s="4">
        <f t="shared" si="6"/>
        <v>4.9062500000000007E-4</v>
      </c>
      <c r="M82" s="4">
        <v>0.25</v>
      </c>
      <c r="N82" s="4">
        <f>Tabelle1[[#This Row],[Pipe roughness coefficient k]]/Tabelle1[[#This Row],[Inside diameter '[mm']]]</f>
        <v>4.0000000000000003E-5</v>
      </c>
      <c r="O82" s="4">
        <f>(Tabelle1[[#This Row],[Wall thickness '[mm']  ]]+(Tabelle1[[#This Row],[Inside diameter '[mm']]])*2)</f>
        <v>51.5</v>
      </c>
      <c r="P82" s="4">
        <f>'7'!P11</f>
        <v>320</v>
      </c>
      <c r="Q82" s="4">
        <f>Tabelle1[[#This Row],[Overall length of fittings gate valve &amp; non-return flap '[mm']]]+Tabelle1[[#This Row],[Height of bend 3*D '[mm']]]</f>
        <v>371.5</v>
      </c>
    </row>
    <row r="83" spans="3:17" x14ac:dyDescent="0.25">
      <c r="C83" s="4" t="s">
        <v>503</v>
      </c>
      <c r="D83" s="4" t="s">
        <v>6</v>
      </c>
      <c r="E83" s="4" t="s">
        <v>26</v>
      </c>
      <c r="F83" s="4">
        <v>35</v>
      </c>
      <c r="G83" s="4">
        <v>1.5</v>
      </c>
      <c r="H83" s="4">
        <f t="shared" si="3"/>
        <v>32</v>
      </c>
      <c r="I83" s="6">
        <f t="shared" si="5"/>
        <v>0.80384</v>
      </c>
      <c r="J83" s="4">
        <v>1E-3</v>
      </c>
      <c r="K83" s="4">
        <f t="shared" si="4"/>
        <v>7.8125E-3</v>
      </c>
      <c r="L83" s="4">
        <f t="shared" si="6"/>
        <v>8.0384E-4</v>
      </c>
      <c r="M83" s="4">
        <v>0.25</v>
      </c>
      <c r="N83" s="4">
        <f>Tabelle1[[#This Row],[Pipe roughness coefficient k]]/Tabelle1[[#This Row],[Inside diameter '[mm']]]</f>
        <v>3.1250000000000001E-5</v>
      </c>
      <c r="O83" s="4">
        <f>(Tabelle1[[#This Row],[Wall thickness '[mm']  ]]+(Tabelle1[[#This Row],[Inside diameter '[mm']]])*2)</f>
        <v>65.5</v>
      </c>
      <c r="P83" s="4">
        <f>'7'!P12</f>
        <v>360</v>
      </c>
      <c r="Q83" s="4">
        <f>Tabelle1[[#This Row],[Overall length of fittings gate valve &amp; non-return flap '[mm']]]+Tabelle1[[#This Row],[Height of bend 3*D '[mm']]]</f>
        <v>425.5</v>
      </c>
    </row>
    <row r="84" spans="3:17" x14ac:dyDescent="0.25">
      <c r="C84" s="4" t="s">
        <v>503</v>
      </c>
      <c r="D84" s="4" t="s">
        <v>7</v>
      </c>
      <c r="E84" s="4" t="s">
        <v>26</v>
      </c>
      <c r="F84" s="4">
        <v>42</v>
      </c>
      <c r="G84" s="4">
        <v>1.5</v>
      </c>
      <c r="H84" s="4">
        <f t="shared" si="3"/>
        <v>39</v>
      </c>
      <c r="I84" s="6">
        <f t="shared" si="5"/>
        <v>1.1939850000000001</v>
      </c>
      <c r="J84" s="4">
        <v>1E-3</v>
      </c>
      <c r="K84" s="4">
        <f t="shared" si="4"/>
        <v>6.41025641025641E-3</v>
      </c>
      <c r="L84" s="4">
        <f t="shared" si="6"/>
        <v>1.1939850000000001E-3</v>
      </c>
      <c r="M84" s="4">
        <v>0.25</v>
      </c>
      <c r="N84" s="4">
        <f>Tabelle1[[#This Row],[Pipe roughness coefficient k]]/Tabelle1[[#This Row],[Inside diameter '[mm']]]</f>
        <v>2.5641025641025643E-5</v>
      </c>
      <c r="O84" s="4">
        <f>(Tabelle1[[#This Row],[Wall thickness '[mm']  ]]+(Tabelle1[[#This Row],[Inside diameter '[mm']]])*2)</f>
        <v>79.5</v>
      </c>
      <c r="P84" s="4">
        <f>'7'!P13</f>
        <v>400</v>
      </c>
      <c r="Q84" s="4">
        <f>Tabelle1[[#This Row],[Overall length of fittings gate valve &amp; non-return flap '[mm']]]+Tabelle1[[#This Row],[Height of bend 3*D '[mm']]]</f>
        <v>479.5</v>
      </c>
    </row>
    <row r="85" spans="3:17" x14ac:dyDescent="0.25">
      <c r="C85" s="4" t="s">
        <v>503</v>
      </c>
      <c r="D85" s="4" t="s">
        <v>8</v>
      </c>
      <c r="E85" s="4" t="s">
        <v>26</v>
      </c>
      <c r="F85" s="4">
        <v>54</v>
      </c>
      <c r="G85" s="4">
        <v>2</v>
      </c>
      <c r="H85" s="4">
        <f t="shared" si="3"/>
        <v>50</v>
      </c>
      <c r="I85" s="6">
        <f t="shared" si="5"/>
        <v>1.9625000000000004</v>
      </c>
      <c r="J85" s="4">
        <v>1E-3</v>
      </c>
      <c r="K85" s="4">
        <f t="shared" si="4"/>
        <v>5.0000000000000001E-3</v>
      </c>
      <c r="L85" s="4">
        <f t="shared" si="6"/>
        <v>1.9625000000000003E-3</v>
      </c>
      <c r="M85" s="4">
        <v>0.25</v>
      </c>
      <c r="N85" s="4">
        <f>Tabelle1[[#This Row],[Pipe roughness coefficient k]]/Tabelle1[[#This Row],[Inside diameter '[mm']]]</f>
        <v>2.0000000000000002E-5</v>
      </c>
      <c r="O85" s="4">
        <f>(Tabelle1[[#This Row],[Wall thickness '[mm']  ]]+(Tabelle1[[#This Row],[Inside diameter '[mm']]])*2)</f>
        <v>102</v>
      </c>
      <c r="P85" s="4">
        <f>'7'!P14</f>
        <v>460</v>
      </c>
      <c r="Q85" s="4">
        <f>Tabelle1[[#This Row],[Overall length of fittings gate valve &amp; non-return flap '[mm']]]+Tabelle1[[#This Row],[Height of bend 3*D '[mm']]]</f>
        <v>562</v>
      </c>
    </row>
    <row r="86" spans="3:17" x14ac:dyDescent="0.25">
      <c r="C86" s="4" t="s">
        <v>503</v>
      </c>
      <c r="D86" s="4" t="s">
        <v>9</v>
      </c>
      <c r="E86" s="4" t="s">
        <v>26</v>
      </c>
      <c r="F86" s="4">
        <v>76.099999999999994</v>
      </c>
      <c r="G86" s="4">
        <v>2</v>
      </c>
      <c r="H86" s="4">
        <f t="shared" si="3"/>
        <v>72.099999999999994</v>
      </c>
      <c r="I86" s="6">
        <f t="shared" si="5"/>
        <v>4.0807518499999995</v>
      </c>
      <c r="J86" s="4">
        <v>1E-3</v>
      </c>
      <c r="K86" s="4">
        <f t="shared" si="4"/>
        <v>3.4674063800277394E-3</v>
      </c>
      <c r="L86" s="4">
        <f t="shared" si="6"/>
        <v>4.0807518499999997E-3</v>
      </c>
      <c r="M86" s="4">
        <v>0.25</v>
      </c>
      <c r="N86" s="4">
        <f>Tabelle1[[#This Row],[Pipe roughness coefficient k]]/Tabelle1[[#This Row],[Inside diameter '[mm']]]</f>
        <v>1.3869625520110959E-5</v>
      </c>
      <c r="O86" s="4">
        <f>(Tabelle1[[#This Row],[Wall thickness '[mm']  ]]+(Tabelle1[[#This Row],[Inside diameter '[mm']]])*2)</f>
        <v>146.19999999999999</v>
      </c>
      <c r="P86" s="4">
        <f>'7'!P15</f>
        <v>580</v>
      </c>
      <c r="Q86" s="4">
        <f>Tabelle1[[#This Row],[Overall length of fittings gate valve &amp; non-return flap '[mm']]]+Tabelle1[[#This Row],[Height of bend 3*D '[mm']]]</f>
        <v>726.2</v>
      </c>
    </row>
    <row r="87" spans="3:17" x14ac:dyDescent="0.25">
      <c r="C87" s="4" t="s">
        <v>503</v>
      </c>
      <c r="D87" s="4" t="s">
        <v>10</v>
      </c>
      <c r="E87" s="4" t="s">
        <v>26</v>
      </c>
      <c r="F87" s="4">
        <v>88.9</v>
      </c>
      <c r="G87" s="4">
        <v>2</v>
      </c>
      <c r="H87" s="4">
        <f t="shared" si="3"/>
        <v>84.9</v>
      </c>
      <c r="I87" s="6">
        <f t="shared" si="5"/>
        <v>5.6582878500000007</v>
      </c>
      <c r="J87" s="4">
        <v>1E-3</v>
      </c>
      <c r="K87" s="4">
        <f t="shared" si="4"/>
        <v>2.9446407538280327E-3</v>
      </c>
      <c r="L87" s="4">
        <f t="shared" si="6"/>
        <v>5.6582878500000006E-3</v>
      </c>
      <c r="M87" s="4">
        <v>0.25</v>
      </c>
      <c r="N87" s="4">
        <f>Tabelle1[[#This Row],[Pipe roughness coefficient k]]/Tabelle1[[#This Row],[Inside diameter '[mm']]]</f>
        <v>1.1778563015312131E-5</v>
      </c>
      <c r="O87" s="4">
        <f>(Tabelle1[[#This Row],[Wall thickness '[mm']  ]]+(Tabelle1[[#This Row],[Inside diameter '[mm']]])*2)</f>
        <v>171.8</v>
      </c>
      <c r="P87" s="4">
        <f>'7'!P16</f>
        <v>620</v>
      </c>
      <c r="Q87" s="4">
        <f>Tabelle1[[#This Row],[Overall length of fittings gate valve &amp; non-return flap '[mm']]]+Tabelle1[[#This Row],[Height of bend 3*D '[mm']]]</f>
        <v>791.8</v>
      </c>
    </row>
    <row r="88" spans="3:17" x14ac:dyDescent="0.25">
      <c r="C88" s="4" t="s">
        <v>503</v>
      </c>
      <c r="D88" s="4" t="s">
        <v>11</v>
      </c>
      <c r="E88" s="4" t="s">
        <v>26</v>
      </c>
      <c r="F88" s="4">
        <v>108</v>
      </c>
      <c r="G88" s="4">
        <v>2.5</v>
      </c>
      <c r="H88" s="4">
        <f t="shared" si="3"/>
        <v>103</v>
      </c>
      <c r="I88" s="6">
        <f t="shared" si="5"/>
        <v>8.3280649999999987</v>
      </c>
      <c r="J88" s="4">
        <v>1E-3</v>
      </c>
      <c r="K88" s="4">
        <f t="shared" si="4"/>
        <v>2.4271844660194173E-3</v>
      </c>
      <c r="L88" s="4">
        <f t="shared" si="6"/>
        <v>8.3280649999999991E-3</v>
      </c>
      <c r="M88" s="4">
        <v>0.25</v>
      </c>
      <c r="N88" s="4">
        <f>Tabelle1[[#This Row],[Pipe roughness coefficient k]]/Tabelle1[[#This Row],[Inside diameter '[mm']]]</f>
        <v>9.7087378640776696E-6</v>
      </c>
      <c r="O88" s="4">
        <f>(Tabelle1[[#This Row],[Wall thickness '[mm']  ]]+(Tabelle1[[#This Row],[Inside diameter '[mm']]])*2)</f>
        <v>208.5</v>
      </c>
      <c r="P88" s="4">
        <f>'7'!P17</f>
        <v>700</v>
      </c>
      <c r="Q88" s="4">
        <f>Tabelle1[[#This Row],[Overall length of fittings gate valve &amp; non-return flap '[mm']]]+Tabelle1[[#This Row],[Height of bend 3*D '[mm']]]</f>
        <v>908.5</v>
      </c>
    </row>
    <row r="89" spans="3:17" x14ac:dyDescent="0.25">
      <c r="C89" s="4" t="s">
        <v>503</v>
      </c>
      <c r="D89" s="4" t="s">
        <v>12</v>
      </c>
      <c r="E89" s="4" t="s">
        <v>26</v>
      </c>
      <c r="F89" s="4">
        <v>133</v>
      </c>
      <c r="G89" s="4">
        <v>3</v>
      </c>
      <c r="H89" s="4">
        <f t="shared" si="3"/>
        <v>127</v>
      </c>
      <c r="I89" s="6">
        <f t="shared" si="5"/>
        <v>12.661265000000002</v>
      </c>
      <c r="J89" s="4">
        <v>1E-3</v>
      </c>
      <c r="K89" s="4">
        <f t="shared" si="4"/>
        <v>1.968503937007874E-3</v>
      </c>
      <c r="L89" s="4">
        <f t="shared" si="6"/>
        <v>1.2661265000000001E-2</v>
      </c>
      <c r="M89" s="4">
        <v>0.25</v>
      </c>
      <c r="N89" s="4">
        <f>Tabelle1[[#This Row],[Pipe roughness coefficient k]]/Tabelle1[[#This Row],[Inside diameter '[mm']]]</f>
        <v>7.8740157480314964E-6</v>
      </c>
      <c r="O89" s="4">
        <f>(Tabelle1[[#This Row],[Wall thickness '[mm']  ]]+(Tabelle1[[#This Row],[Inside diameter '[mm']]])*2)</f>
        <v>257</v>
      </c>
      <c r="P89" s="4">
        <f>'7'!P18</f>
        <v>800</v>
      </c>
      <c r="Q89" s="4">
        <f>Tabelle1[[#This Row],[Overall length of fittings gate valve &amp; non-return flap '[mm']]]+Tabelle1[[#This Row],[Height of bend 3*D '[mm']]]</f>
        <v>1057</v>
      </c>
    </row>
    <row r="90" spans="3:17" x14ac:dyDescent="0.25">
      <c r="C90" s="4" t="s">
        <v>503</v>
      </c>
      <c r="D90" s="4" t="s">
        <v>13</v>
      </c>
      <c r="E90" s="4" t="s">
        <v>26</v>
      </c>
      <c r="F90" s="4">
        <v>159</v>
      </c>
      <c r="G90" s="4">
        <v>3</v>
      </c>
      <c r="H90" s="4">
        <f t="shared" si="3"/>
        <v>153</v>
      </c>
      <c r="I90" s="6">
        <f t="shared" si="5"/>
        <v>18.376065000000001</v>
      </c>
      <c r="J90" s="4">
        <v>1E-3</v>
      </c>
      <c r="K90" s="4">
        <f t="shared" si="4"/>
        <v>1.6339869281045752E-3</v>
      </c>
      <c r="L90" s="4">
        <f t="shared" si="6"/>
        <v>1.8376065E-2</v>
      </c>
      <c r="M90" s="4">
        <v>0.25</v>
      </c>
      <c r="N90" s="4">
        <f>Tabelle1[[#This Row],[Pipe roughness coefficient k]]/Tabelle1[[#This Row],[Inside diameter '[mm']]]</f>
        <v>6.5359477124183011E-6</v>
      </c>
      <c r="O90" s="4">
        <f>(Tabelle1[[#This Row],[Wall thickness '[mm']  ]]+(Tabelle1[[#This Row],[Inside diameter '[mm']]])*2)</f>
        <v>309</v>
      </c>
      <c r="P90" s="4">
        <f>'7'!P19</f>
        <v>960</v>
      </c>
      <c r="Q90" s="4">
        <f>Tabelle1[[#This Row],[Overall length of fittings gate valve &amp; non-return flap '[mm']]]+Tabelle1[[#This Row],[Height of bend 3*D '[mm']]]</f>
        <v>1269</v>
      </c>
    </row>
    <row r="91" spans="3:17" x14ac:dyDescent="0.25">
      <c r="C91" s="4" t="s">
        <v>503</v>
      </c>
      <c r="D91" s="4" t="s">
        <v>14</v>
      </c>
      <c r="E91" s="4" t="s">
        <v>26</v>
      </c>
      <c r="F91" s="4">
        <v>219</v>
      </c>
      <c r="G91" s="4">
        <v>3</v>
      </c>
      <c r="H91" s="4">
        <f t="shared" si="3"/>
        <v>213</v>
      </c>
      <c r="I91" s="6">
        <f t="shared" si="5"/>
        <v>35.614665000000002</v>
      </c>
      <c r="J91" s="4">
        <v>1E-3</v>
      </c>
      <c r="K91" s="4">
        <f t="shared" si="4"/>
        <v>1.1737089201877935E-3</v>
      </c>
      <c r="L91" s="4">
        <f t="shared" si="6"/>
        <v>3.5614665000000004E-2</v>
      </c>
      <c r="M91" s="4">
        <v>0.25</v>
      </c>
      <c r="N91" s="4">
        <f>Tabelle1[[#This Row],[Pipe roughness coefficient k]]/Tabelle1[[#This Row],[Inside diameter '[mm']]]</f>
        <v>4.6948356807511736E-6</v>
      </c>
      <c r="O91" s="4">
        <f>(Tabelle1[[#This Row],[Wall thickness '[mm']  ]]+(Tabelle1[[#This Row],[Inside diameter '[mm']]])*2)</f>
        <v>429</v>
      </c>
      <c r="P91" s="4">
        <f>'7'!P20</f>
        <v>1200</v>
      </c>
      <c r="Q91" s="4">
        <f>Tabelle1[[#This Row],[Overall length of fittings gate valve &amp; non-return flap '[mm']]]+Tabelle1[[#This Row],[Height of bend 3*D '[mm']]]</f>
        <v>1629</v>
      </c>
    </row>
    <row r="92" spans="3:17" x14ac:dyDescent="0.25">
      <c r="C92" s="4" t="s">
        <v>503</v>
      </c>
      <c r="D92" s="4" t="s">
        <v>15</v>
      </c>
      <c r="E92" s="4" t="s">
        <v>26</v>
      </c>
      <c r="F92" s="4">
        <v>267</v>
      </c>
      <c r="G92" s="4">
        <v>3</v>
      </c>
      <c r="H92" s="4">
        <f t="shared" si="3"/>
        <v>261</v>
      </c>
      <c r="I92" s="6">
        <f t="shared" si="5"/>
        <v>53.474985000000004</v>
      </c>
      <c r="J92" s="4">
        <v>1E-3</v>
      </c>
      <c r="K92" s="4">
        <f t="shared" si="4"/>
        <v>9.5785440613026815E-4</v>
      </c>
      <c r="L92" s="4">
        <f t="shared" si="6"/>
        <v>5.3474985000000003E-2</v>
      </c>
      <c r="M92" s="4">
        <v>0.25</v>
      </c>
      <c r="N92" s="4">
        <f>Tabelle1[[#This Row],[Pipe roughness coefficient k]]/Tabelle1[[#This Row],[Inside diameter '[mm']]]</f>
        <v>3.8314176245210725E-6</v>
      </c>
      <c r="O92" s="4">
        <f>(Tabelle1[[#This Row],[Wall thickness '[mm']  ]]+(Tabelle1[[#This Row],[Inside diameter '[mm']]])*2)</f>
        <v>525</v>
      </c>
      <c r="P92" s="4">
        <f>'7'!P21</f>
        <v>1460</v>
      </c>
      <c r="Q92" s="4">
        <f>Tabelle1[[#This Row],[Overall length of fittings gate valve &amp; non-return flap '[mm']]]+Tabelle1[[#This Row],[Height of bend 3*D '[mm']]]</f>
        <v>1985</v>
      </c>
    </row>
    <row r="93" spans="3:17" x14ac:dyDescent="0.25">
      <c r="C93" s="4" t="s">
        <v>288</v>
      </c>
      <c r="D93" s="4" t="s">
        <v>6</v>
      </c>
      <c r="E93" s="4" t="s">
        <v>17</v>
      </c>
      <c r="F93" s="4">
        <v>40</v>
      </c>
      <c r="G93" s="4">
        <v>2.4</v>
      </c>
      <c r="H93" s="4">
        <f>F93-(2*G93)</f>
        <v>35.200000000000003</v>
      </c>
      <c r="I93" s="6">
        <f t="shared" si="5"/>
        <v>0.97264640000000013</v>
      </c>
      <c r="J93" s="4">
        <v>1E-3</v>
      </c>
      <c r="K93" s="4">
        <f>M93/H93</f>
        <v>7.102272727272727E-3</v>
      </c>
      <c r="L93" s="4">
        <f>(0.785*((H93/1000)^2))</f>
        <v>9.7264640000000011E-4</v>
      </c>
      <c r="M93" s="4">
        <v>0.25</v>
      </c>
      <c r="N93" s="54">
        <f>Tabelle1[[#This Row],[Pipe roughness coefficient k]]/Tabelle1[[#This Row],[Inside diameter '[mm']]]</f>
        <v>2.8409090909090909E-5</v>
      </c>
      <c r="O93" s="4">
        <f>(Tabelle1[[#This Row],[Wall thickness '[mm']  ]]+(Tabelle1[[#This Row],[Inside diameter '[mm']]])*2)</f>
        <v>72.800000000000011</v>
      </c>
      <c r="P93" s="54">
        <v>360</v>
      </c>
      <c r="Q93" s="54">
        <f>Tabelle1[[#This Row],[Overall length of fittings gate valve &amp; non-return flap '[mm']]]+Tabelle1[[#This Row],[Height of bend 3*D '[mm']]]</f>
        <v>432.8</v>
      </c>
    </row>
    <row r="94" spans="3:17" x14ac:dyDescent="0.25">
      <c r="C94" s="4" t="s">
        <v>288</v>
      </c>
      <c r="D94" s="55" t="s">
        <v>7</v>
      </c>
      <c r="E94" s="4" t="s">
        <v>17</v>
      </c>
      <c r="F94" s="4">
        <v>50</v>
      </c>
      <c r="G94" s="4">
        <v>3</v>
      </c>
      <c r="H94" s="4">
        <f t="shared" ref="H94:H102" si="7">F94-(2*G94)</f>
        <v>44</v>
      </c>
      <c r="I94" s="6">
        <f t="shared" si="5"/>
        <v>1.51976</v>
      </c>
      <c r="J94" s="4">
        <v>1E-3</v>
      </c>
      <c r="K94" s="4">
        <f t="shared" ref="K94:K102" si="8">M94/H94</f>
        <v>5.681818181818182E-3</v>
      </c>
      <c r="L94" s="4">
        <f t="shared" ref="L94:L102" si="9">(0.785*((H94/1000)^2))</f>
        <v>1.51976E-3</v>
      </c>
      <c r="M94" s="4">
        <v>0.25</v>
      </c>
      <c r="N94" s="54">
        <f>Tabelle1[[#This Row],[Pipe roughness coefficient k]]/Tabelle1[[#This Row],[Inside diameter '[mm']]]</f>
        <v>2.2727272727272729E-5</v>
      </c>
      <c r="O94" s="4">
        <f>(Tabelle1[[#This Row],[Wall thickness '[mm']  ]]+(Tabelle1[[#This Row],[Inside diameter '[mm']]])*2)</f>
        <v>91</v>
      </c>
      <c r="P94" s="54">
        <v>400</v>
      </c>
      <c r="Q94" s="54">
        <f>Tabelle1[[#This Row],[Overall length of fittings gate valve &amp; non-return flap '[mm']]]+Tabelle1[[#This Row],[Height of bend 3*D '[mm']]]</f>
        <v>491</v>
      </c>
    </row>
    <row r="95" spans="3:17" x14ac:dyDescent="0.25">
      <c r="C95" s="4" t="s">
        <v>288</v>
      </c>
      <c r="D95" s="55" t="s">
        <v>8</v>
      </c>
      <c r="E95" s="4" t="s">
        <v>17</v>
      </c>
      <c r="F95" s="4">
        <v>63</v>
      </c>
      <c r="G95" s="4">
        <v>3.8</v>
      </c>
      <c r="H95" s="4">
        <f t="shared" si="7"/>
        <v>55.4</v>
      </c>
      <c r="I95" s="6">
        <f t="shared" si="5"/>
        <v>2.4092905999999998</v>
      </c>
      <c r="J95" s="4">
        <v>1E-3</v>
      </c>
      <c r="K95" s="4">
        <f t="shared" si="8"/>
        <v>4.5126353790613718E-3</v>
      </c>
      <c r="L95" s="4">
        <f t="shared" si="9"/>
        <v>2.4092905999999999E-3</v>
      </c>
      <c r="M95" s="4">
        <v>0.25</v>
      </c>
      <c r="N95" s="54">
        <f>Tabelle1[[#This Row],[Pipe roughness coefficient k]]/Tabelle1[[#This Row],[Inside diameter '[mm']]]</f>
        <v>1.8050541516245488E-5</v>
      </c>
      <c r="O95" s="4">
        <f>(Tabelle1[[#This Row],[Wall thickness '[mm']  ]]+(Tabelle1[[#This Row],[Inside diameter '[mm']]])*2)</f>
        <v>114.6</v>
      </c>
      <c r="P95" s="54">
        <v>460</v>
      </c>
      <c r="Q95" s="54">
        <f>Tabelle1[[#This Row],[Overall length of fittings gate valve &amp; non-return flap '[mm']]]+Tabelle1[[#This Row],[Height of bend 3*D '[mm']]]</f>
        <v>574.6</v>
      </c>
    </row>
    <row r="96" spans="3:17" x14ac:dyDescent="0.25">
      <c r="C96" s="4" t="s">
        <v>288</v>
      </c>
      <c r="D96" s="55" t="s">
        <v>9</v>
      </c>
      <c r="E96" s="4" t="s">
        <v>17</v>
      </c>
      <c r="F96" s="4">
        <v>75</v>
      </c>
      <c r="G96" s="4">
        <v>4.5</v>
      </c>
      <c r="H96" s="4">
        <f t="shared" si="7"/>
        <v>66</v>
      </c>
      <c r="I96" s="6">
        <f t="shared" si="5"/>
        <v>3.4194600000000004</v>
      </c>
      <c r="J96" s="4">
        <v>1E-3</v>
      </c>
      <c r="K96" s="4">
        <f t="shared" si="8"/>
        <v>3.787878787878788E-3</v>
      </c>
      <c r="L96" s="4">
        <f t="shared" si="9"/>
        <v>3.4194600000000005E-3</v>
      </c>
      <c r="M96" s="4">
        <v>0.25</v>
      </c>
      <c r="N96" s="54">
        <f>Tabelle1[[#This Row],[Pipe roughness coefficient k]]/Tabelle1[[#This Row],[Inside diameter '[mm']]]</f>
        <v>1.5151515151515151E-5</v>
      </c>
      <c r="O96" s="4">
        <f>(Tabelle1[[#This Row],[Wall thickness '[mm']  ]]+(Tabelle1[[#This Row],[Inside diameter '[mm']]])*2)</f>
        <v>136.5</v>
      </c>
      <c r="P96" s="54">
        <v>580</v>
      </c>
      <c r="Q96" s="54">
        <f>Tabelle1[[#This Row],[Overall length of fittings gate valve &amp; non-return flap '[mm']]]+Tabelle1[[#This Row],[Height of bend 3*D '[mm']]]</f>
        <v>716.5</v>
      </c>
    </row>
    <row r="97" spans="3:17" x14ac:dyDescent="0.25">
      <c r="C97" s="4" t="s">
        <v>288</v>
      </c>
      <c r="D97" s="55" t="s">
        <v>10</v>
      </c>
      <c r="E97" s="4" t="s">
        <v>17</v>
      </c>
      <c r="F97" s="4">
        <v>90</v>
      </c>
      <c r="G97" s="4">
        <v>5.4</v>
      </c>
      <c r="H97" s="4">
        <f t="shared" si="7"/>
        <v>79.2</v>
      </c>
      <c r="I97" s="6">
        <f t="shared" si="5"/>
        <v>4.924022400000001</v>
      </c>
      <c r="J97" s="4">
        <v>1E-3</v>
      </c>
      <c r="K97" s="4">
        <f t="shared" si="8"/>
        <v>3.1565656565656565E-3</v>
      </c>
      <c r="L97" s="4">
        <f t="shared" si="9"/>
        <v>4.9240224000000011E-3</v>
      </c>
      <c r="M97" s="4">
        <v>0.25</v>
      </c>
      <c r="N97" s="54">
        <f>Tabelle1[[#This Row],[Pipe roughness coefficient k]]/Tabelle1[[#This Row],[Inside diameter '[mm']]]</f>
        <v>1.2626262626262626E-5</v>
      </c>
      <c r="O97" s="4">
        <f>(Tabelle1[[#This Row],[Wall thickness '[mm']  ]]+(Tabelle1[[#This Row],[Inside diameter '[mm']]])*2)</f>
        <v>163.80000000000001</v>
      </c>
      <c r="P97" s="54">
        <v>620</v>
      </c>
      <c r="Q97" s="54">
        <f>Tabelle1[[#This Row],[Overall length of fittings gate valve &amp; non-return flap '[mm']]]+Tabelle1[[#This Row],[Height of bend 3*D '[mm']]]</f>
        <v>783.8</v>
      </c>
    </row>
    <row r="98" spans="3:17" x14ac:dyDescent="0.25">
      <c r="C98" s="4" t="s">
        <v>288</v>
      </c>
      <c r="D98" s="55" t="s">
        <v>11</v>
      </c>
      <c r="E98" s="4" t="s">
        <v>17</v>
      </c>
      <c r="F98" s="4">
        <v>110</v>
      </c>
      <c r="G98" s="4">
        <v>6.6</v>
      </c>
      <c r="H98" s="4">
        <f t="shared" si="7"/>
        <v>96.8</v>
      </c>
      <c r="I98" s="6">
        <f t="shared" si="5"/>
        <v>7.3556384000000001</v>
      </c>
      <c r="J98" s="4">
        <v>1E-3</v>
      </c>
      <c r="K98" s="4">
        <f t="shared" si="8"/>
        <v>2.5826446280991736E-3</v>
      </c>
      <c r="L98" s="4">
        <f t="shared" si="9"/>
        <v>7.3556384000000004E-3</v>
      </c>
      <c r="M98" s="4">
        <v>0.25</v>
      </c>
      <c r="N98" s="54">
        <f>Tabelle1[[#This Row],[Pipe roughness coefficient k]]/Tabelle1[[#This Row],[Inside diameter '[mm']]]</f>
        <v>1.0330578512396695E-5</v>
      </c>
      <c r="O98" s="4">
        <f>(Tabelle1[[#This Row],[Wall thickness '[mm']  ]]+(Tabelle1[[#This Row],[Inside diameter '[mm']]])*2)</f>
        <v>200.2</v>
      </c>
      <c r="P98" s="54">
        <v>700</v>
      </c>
      <c r="Q98" s="54">
        <f>Tabelle1[[#This Row],[Overall length of fittings gate valve &amp; non-return flap '[mm']]]+Tabelle1[[#This Row],[Height of bend 3*D '[mm']]]</f>
        <v>900.2</v>
      </c>
    </row>
    <row r="99" spans="3:17" x14ac:dyDescent="0.25">
      <c r="C99" s="4" t="s">
        <v>288</v>
      </c>
      <c r="D99" s="55" t="s">
        <v>12</v>
      </c>
      <c r="E99" s="4" t="s">
        <v>17</v>
      </c>
      <c r="F99" s="4">
        <v>140</v>
      </c>
      <c r="G99" s="4">
        <v>8.3000000000000007</v>
      </c>
      <c r="H99" s="4">
        <f t="shared" si="7"/>
        <v>123.4</v>
      </c>
      <c r="I99" s="6">
        <f t="shared" si="5"/>
        <v>11.953634600000003</v>
      </c>
      <c r="J99" s="4">
        <v>1E-3</v>
      </c>
      <c r="K99" s="4">
        <f t="shared" si="8"/>
        <v>2.0259319286871961E-3</v>
      </c>
      <c r="L99" s="4">
        <f t="shared" si="9"/>
        <v>1.1953634600000002E-2</v>
      </c>
      <c r="M99" s="4">
        <v>0.25</v>
      </c>
      <c r="N99" s="54">
        <f>Tabelle1[[#This Row],[Pipe roughness coefficient k]]/Tabelle1[[#This Row],[Inside diameter '[mm']]]</f>
        <v>8.1037277147487834E-6</v>
      </c>
      <c r="O99" s="4">
        <f>(Tabelle1[[#This Row],[Wall thickness '[mm']  ]]+(Tabelle1[[#This Row],[Inside diameter '[mm']]])*2)</f>
        <v>255.10000000000002</v>
      </c>
      <c r="P99" s="54">
        <v>800</v>
      </c>
      <c r="Q99" s="54">
        <f>Tabelle1[[#This Row],[Overall length of fittings gate valve &amp; non-return flap '[mm']]]+Tabelle1[[#This Row],[Height of bend 3*D '[mm']]]</f>
        <v>1055.0999999999999</v>
      </c>
    </row>
    <row r="100" spans="3:17" x14ac:dyDescent="0.25">
      <c r="C100" s="4" t="s">
        <v>288</v>
      </c>
      <c r="D100" s="55" t="s">
        <v>13</v>
      </c>
      <c r="E100" s="4" t="s">
        <v>17</v>
      </c>
      <c r="F100" s="4">
        <v>180</v>
      </c>
      <c r="G100" s="4">
        <v>10.7</v>
      </c>
      <c r="H100" s="4">
        <f t="shared" si="7"/>
        <v>158.6</v>
      </c>
      <c r="I100" s="6">
        <f t="shared" si="5"/>
        <v>19.745858599999998</v>
      </c>
      <c r="J100" s="4">
        <v>1E-3</v>
      </c>
      <c r="K100" s="4">
        <f t="shared" si="8"/>
        <v>1.5762925598991173E-3</v>
      </c>
      <c r="L100" s="4">
        <f t="shared" si="9"/>
        <v>1.9745858599999999E-2</v>
      </c>
      <c r="M100" s="4">
        <v>0.25</v>
      </c>
      <c r="N100" s="54">
        <f>Tabelle1[[#This Row],[Pipe roughness coefficient k]]/Tabelle1[[#This Row],[Inside diameter '[mm']]]</f>
        <v>6.3051702395964691E-6</v>
      </c>
      <c r="O100" s="4">
        <f>(Tabelle1[[#This Row],[Wall thickness '[mm']  ]]+(Tabelle1[[#This Row],[Inside diameter '[mm']]])*2)</f>
        <v>327.9</v>
      </c>
      <c r="P100" s="54">
        <v>960</v>
      </c>
      <c r="Q100" s="54">
        <f>Tabelle1[[#This Row],[Overall length of fittings gate valve &amp; non-return flap '[mm']]]+Tabelle1[[#This Row],[Height of bend 3*D '[mm']]]</f>
        <v>1287.9000000000001</v>
      </c>
    </row>
    <row r="101" spans="3:17" x14ac:dyDescent="0.25">
      <c r="C101" s="4" t="s">
        <v>288</v>
      </c>
      <c r="D101" s="55" t="s">
        <v>14</v>
      </c>
      <c r="E101" s="4" t="s">
        <v>17</v>
      </c>
      <c r="F101" s="4">
        <v>225</v>
      </c>
      <c r="G101" s="4">
        <v>13.4</v>
      </c>
      <c r="H101" s="4">
        <f t="shared" si="7"/>
        <v>198.2</v>
      </c>
      <c r="I101" s="6">
        <f t="shared" si="5"/>
        <v>30.837343399999998</v>
      </c>
      <c r="J101" s="4">
        <v>1E-3</v>
      </c>
      <c r="K101" s="4">
        <f t="shared" si="8"/>
        <v>1.2613521695257316E-3</v>
      </c>
      <c r="L101" s="4">
        <f t="shared" si="9"/>
        <v>3.0837343399999998E-2</v>
      </c>
      <c r="M101" s="4">
        <v>0.25</v>
      </c>
      <c r="N101" s="54">
        <f>Tabelle1[[#This Row],[Pipe roughness coefficient k]]/Tabelle1[[#This Row],[Inside diameter '[mm']]]</f>
        <v>5.0454086781029267E-6</v>
      </c>
      <c r="O101" s="4">
        <f>(Tabelle1[[#This Row],[Wall thickness '[mm']  ]]+(Tabelle1[[#This Row],[Inside diameter '[mm']]])*2)</f>
        <v>409.79999999999995</v>
      </c>
      <c r="P101" s="54">
        <v>1200</v>
      </c>
      <c r="Q101" s="54">
        <f>Tabelle1[[#This Row],[Overall length of fittings gate valve &amp; non-return flap '[mm']]]+Tabelle1[[#This Row],[Height of bend 3*D '[mm']]]</f>
        <v>1609.8</v>
      </c>
    </row>
    <row r="102" spans="3:17" x14ac:dyDescent="0.25">
      <c r="C102" s="4" t="s">
        <v>288</v>
      </c>
      <c r="D102" s="55" t="s">
        <v>15</v>
      </c>
      <c r="E102" s="4" t="s">
        <v>17</v>
      </c>
      <c r="F102" s="4">
        <v>280</v>
      </c>
      <c r="G102" s="4">
        <v>16.600000000000001</v>
      </c>
      <c r="H102" s="4">
        <f t="shared" si="7"/>
        <v>246.8</v>
      </c>
      <c r="I102" s="6">
        <f t="shared" si="5"/>
        <v>47.814538400000011</v>
      </c>
      <c r="J102" s="4">
        <v>1E-3</v>
      </c>
      <c r="K102" s="4">
        <f t="shared" si="8"/>
        <v>1.012965964343598E-3</v>
      </c>
      <c r="L102" s="4">
        <f t="shared" si="9"/>
        <v>4.7814538400000009E-2</v>
      </c>
      <c r="M102" s="4">
        <v>0.25</v>
      </c>
      <c r="N102" s="54">
        <f>Tabelle1[[#This Row],[Pipe roughness coefficient k]]/Tabelle1[[#This Row],[Inside diameter '[mm']]]</f>
        <v>4.0518638573743917E-6</v>
      </c>
      <c r="O102" s="4">
        <f>(Tabelle1[[#This Row],[Wall thickness '[mm']  ]]+(Tabelle1[[#This Row],[Inside diameter '[mm']]])*2)</f>
        <v>510.20000000000005</v>
      </c>
      <c r="P102" s="54">
        <v>1460</v>
      </c>
      <c r="Q102" s="54">
        <f>Tabelle1[[#This Row],[Overall length of fittings gate valve &amp; non-return flap '[mm']]]+Tabelle1[[#This Row],[Height of bend 3*D '[mm']]]</f>
        <v>1970.2</v>
      </c>
    </row>
    <row r="103" spans="3:17" x14ac:dyDescent="0.25">
      <c r="C103" s="4"/>
      <c r="D103" s="4"/>
      <c r="E103" s="4"/>
      <c r="F103" s="4"/>
      <c r="G103" s="4"/>
      <c r="H103" s="4"/>
      <c r="I103" s="7"/>
      <c r="J103" s="4"/>
      <c r="K103" s="4"/>
      <c r="L103" s="4"/>
      <c r="M103" s="4"/>
      <c r="N103" s="54"/>
      <c r="O103" s="54"/>
      <c r="P103" s="54"/>
      <c r="Q103" s="54"/>
    </row>
    <row r="104" spans="3:17" x14ac:dyDescent="0.25">
      <c r="C104" s="4"/>
      <c r="D104" s="4"/>
      <c r="E104" s="4"/>
      <c r="F104" s="4"/>
      <c r="G104" s="4"/>
      <c r="H104" s="4"/>
      <c r="I104" s="7"/>
      <c r="J104" s="4"/>
      <c r="K104" s="4"/>
      <c r="L104" s="4"/>
      <c r="M104" s="4"/>
      <c r="N104" s="54"/>
      <c r="O104" s="54"/>
      <c r="P104" s="54"/>
      <c r="Q104" s="54"/>
    </row>
    <row r="105" spans="3:17" x14ac:dyDescent="0.25">
      <c r="C105" s="4"/>
      <c r="D105" s="4"/>
      <c r="E105" s="4"/>
      <c r="F105" s="4"/>
      <c r="G105" s="4"/>
      <c r="H105" s="4"/>
      <c r="I105" s="7"/>
      <c r="J105" s="4"/>
      <c r="K105" s="4"/>
      <c r="L105" s="4"/>
      <c r="M105" s="4"/>
      <c r="N105" s="54"/>
      <c r="O105" s="54"/>
      <c r="P105" s="54"/>
      <c r="Q105" s="54"/>
    </row>
    <row r="106" spans="3:17" x14ac:dyDescent="0.25">
      <c r="C106" s="4"/>
      <c r="D106" s="4"/>
      <c r="E106" s="4"/>
      <c r="F106" s="4"/>
      <c r="G106" s="4"/>
      <c r="H106" s="4"/>
      <c r="I106" s="7"/>
      <c r="J106" s="4"/>
      <c r="K106" s="4"/>
      <c r="L106" s="4"/>
      <c r="M106" s="4"/>
      <c r="N106" s="54"/>
      <c r="O106" s="54"/>
      <c r="P106" s="54"/>
      <c r="Q106" s="54"/>
    </row>
    <row r="107" spans="3:17" x14ac:dyDescent="0.25">
      <c r="C107" s="4"/>
      <c r="D107" s="4"/>
      <c r="E107" s="4"/>
      <c r="F107" s="4"/>
      <c r="G107" s="4"/>
      <c r="H107" s="4"/>
      <c r="I107" s="7"/>
      <c r="J107" s="4"/>
      <c r="K107" s="4"/>
      <c r="L107" s="4"/>
      <c r="M107" s="4"/>
      <c r="N107" s="54"/>
      <c r="O107" s="54"/>
      <c r="P107" s="54"/>
      <c r="Q107" s="54"/>
    </row>
    <row r="108" spans="3:17" x14ac:dyDescent="0.25">
      <c r="C108" s="4"/>
      <c r="D108" s="4"/>
      <c r="E108" s="4"/>
      <c r="F108" s="4"/>
      <c r="G108" s="4"/>
      <c r="H108" s="4"/>
      <c r="I108" s="7"/>
      <c r="J108" s="4"/>
      <c r="K108" s="4"/>
      <c r="L108" s="4"/>
      <c r="M108" s="4"/>
      <c r="N108" s="54"/>
      <c r="O108" s="54"/>
      <c r="P108" s="54"/>
      <c r="Q108" s="54"/>
    </row>
    <row r="109" spans="3:17" x14ac:dyDescent="0.25">
      <c r="C109" s="4"/>
      <c r="D109" s="4"/>
      <c r="E109" s="4"/>
      <c r="F109" s="4"/>
      <c r="G109" s="4"/>
      <c r="H109" s="4"/>
      <c r="I109" s="7"/>
      <c r="J109" s="4"/>
      <c r="K109" s="4"/>
      <c r="L109" s="4"/>
      <c r="M109" s="4"/>
      <c r="N109" s="54"/>
      <c r="O109" s="54"/>
      <c r="P109" s="54"/>
      <c r="Q109" s="54"/>
    </row>
    <row r="110" spans="3:17" x14ac:dyDescent="0.25">
      <c r="C110" s="4"/>
      <c r="D110" s="4"/>
      <c r="E110" s="4"/>
      <c r="F110" s="4"/>
      <c r="G110" s="4"/>
      <c r="H110" s="4"/>
      <c r="I110" s="7"/>
      <c r="J110" s="4"/>
      <c r="K110" s="4"/>
      <c r="L110" s="4"/>
      <c r="M110" s="4"/>
      <c r="N110" s="54"/>
      <c r="O110" s="54"/>
      <c r="P110" s="54"/>
      <c r="Q110" s="54"/>
    </row>
    <row r="111" spans="3:17" x14ac:dyDescent="0.25">
      <c r="C111" s="4"/>
      <c r="D111" s="4"/>
      <c r="E111" s="4"/>
      <c r="F111" s="4"/>
      <c r="G111" s="4"/>
      <c r="H111" s="4"/>
      <c r="I111" s="7"/>
      <c r="J111" s="4"/>
      <c r="K111" s="4"/>
      <c r="L111" s="4"/>
      <c r="M111" s="4"/>
      <c r="N111" s="54"/>
      <c r="O111" s="54"/>
      <c r="P111" s="54"/>
      <c r="Q111" s="54"/>
    </row>
    <row r="112" spans="3:17" x14ac:dyDescent="0.25">
      <c r="C112" s="4"/>
      <c r="D112" s="4"/>
      <c r="E112" s="4"/>
      <c r="F112" s="4"/>
      <c r="G112" s="4"/>
      <c r="H112" s="4"/>
      <c r="I112" s="7"/>
      <c r="J112" s="4"/>
      <c r="K112" s="4"/>
      <c r="L112" s="4"/>
      <c r="M112" s="4"/>
      <c r="N112" s="54"/>
      <c r="O112" s="54"/>
      <c r="P112" s="54"/>
      <c r="Q112" s="54"/>
    </row>
    <row r="113" spans="3:17" x14ac:dyDescent="0.25">
      <c r="C113" s="4"/>
      <c r="D113" s="4"/>
      <c r="E113" s="4"/>
      <c r="F113" s="4"/>
      <c r="G113" s="4"/>
      <c r="H113" s="4"/>
      <c r="I113" s="7"/>
      <c r="J113" s="4"/>
      <c r="K113" s="4"/>
      <c r="L113" s="4"/>
      <c r="M113" s="4"/>
      <c r="N113" s="54"/>
      <c r="O113" s="54"/>
      <c r="P113" s="54"/>
      <c r="Q113" s="54"/>
    </row>
    <row r="114" spans="3:17" x14ac:dyDescent="0.25">
      <c r="C114" s="4"/>
      <c r="D114" s="4"/>
      <c r="E114" s="4"/>
      <c r="F114" s="4"/>
      <c r="G114" s="4"/>
      <c r="H114" s="4"/>
      <c r="I114" s="7"/>
      <c r="J114" s="4"/>
      <c r="K114" s="4"/>
      <c r="L114" s="4"/>
      <c r="M114" s="4"/>
      <c r="N114" s="54"/>
      <c r="O114" s="54"/>
      <c r="P114" s="54"/>
      <c r="Q114" s="54"/>
    </row>
    <row r="115" spans="3:17" x14ac:dyDescent="0.25">
      <c r="C115" s="4"/>
      <c r="D115" s="4"/>
      <c r="E115" s="4"/>
      <c r="F115" s="4"/>
      <c r="G115" s="4"/>
      <c r="H115" s="4"/>
      <c r="I115" s="7"/>
      <c r="J115" s="4"/>
      <c r="K115" s="4"/>
      <c r="L115" s="4"/>
      <c r="M115" s="4"/>
      <c r="N115" s="54"/>
      <c r="O115" s="54"/>
      <c r="P115" s="54"/>
      <c r="Q115" s="54"/>
    </row>
    <row r="116" spans="3:17" x14ac:dyDescent="0.25">
      <c r="C116" s="4"/>
      <c r="D116" s="4"/>
      <c r="E116" s="4"/>
      <c r="F116" s="4"/>
      <c r="G116" s="4"/>
      <c r="H116" s="4"/>
      <c r="I116" s="7"/>
      <c r="J116" s="4"/>
      <c r="K116" s="4"/>
      <c r="L116" s="4"/>
      <c r="M116" s="4"/>
      <c r="N116" s="54"/>
      <c r="O116" s="54"/>
      <c r="P116" s="54"/>
      <c r="Q116" s="54"/>
    </row>
    <row r="117" spans="3:17" x14ac:dyDescent="0.25">
      <c r="C117" s="4"/>
      <c r="D117" s="4"/>
      <c r="E117" s="4"/>
      <c r="F117" s="4"/>
      <c r="G117" s="4"/>
      <c r="H117" s="4"/>
      <c r="I117" s="7"/>
      <c r="J117" s="4"/>
      <c r="K117" s="4"/>
      <c r="L117" s="4"/>
      <c r="M117" s="4"/>
      <c r="N117" s="54"/>
      <c r="O117" s="54"/>
      <c r="P117" s="54"/>
      <c r="Q117" s="54"/>
    </row>
    <row r="118" spans="3:17" x14ac:dyDescent="0.25">
      <c r="C118" s="4"/>
      <c r="D118" s="4"/>
      <c r="E118" s="4"/>
      <c r="F118" s="4"/>
      <c r="G118" s="4"/>
      <c r="H118" s="4"/>
      <c r="I118" s="7"/>
      <c r="J118" s="4"/>
      <c r="K118" s="4"/>
      <c r="L118" s="4"/>
      <c r="M118" s="4"/>
      <c r="N118" s="54"/>
      <c r="O118" s="54"/>
      <c r="P118" s="54"/>
      <c r="Q118" s="54"/>
    </row>
    <row r="119" spans="3:17" x14ac:dyDescent="0.25">
      <c r="C119" s="4"/>
      <c r="D119" s="4"/>
      <c r="E119" s="4"/>
      <c r="F119" s="4"/>
      <c r="G119" s="4"/>
      <c r="H119" s="4"/>
      <c r="I119" s="7"/>
      <c r="J119" s="4"/>
      <c r="K119" s="4"/>
      <c r="L119" s="4"/>
      <c r="M119" s="4"/>
      <c r="N119" s="54"/>
      <c r="O119" s="54"/>
      <c r="P119" s="54"/>
      <c r="Q119" s="54"/>
    </row>
    <row r="120" spans="3:17" x14ac:dyDescent="0.25">
      <c r="C120" s="4"/>
      <c r="D120" s="4"/>
      <c r="E120" s="4"/>
      <c r="F120" s="4"/>
      <c r="G120" s="4"/>
      <c r="H120" s="4"/>
      <c r="I120" s="7"/>
      <c r="J120" s="4"/>
      <c r="K120" s="4"/>
      <c r="L120" s="4"/>
      <c r="M120" s="4"/>
      <c r="N120" s="54"/>
      <c r="O120" s="54"/>
      <c r="P120" s="54"/>
      <c r="Q120" s="54"/>
    </row>
    <row r="121" spans="3:17" x14ac:dyDescent="0.25">
      <c r="C121" s="4"/>
      <c r="D121" s="4"/>
      <c r="E121" s="4"/>
      <c r="F121" s="4"/>
      <c r="G121" s="4"/>
      <c r="H121" s="4"/>
      <c r="I121" s="7"/>
      <c r="J121" s="4"/>
      <c r="K121" s="4"/>
      <c r="L121" s="4"/>
      <c r="M121" s="4"/>
      <c r="N121" s="54"/>
      <c r="O121" s="54"/>
      <c r="P121" s="54"/>
      <c r="Q121" s="54"/>
    </row>
    <row r="123" spans="3:17" x14ac:dyDescent="0.25">
      <c r="C123" s="30" t="s">
        <v>27</v>
      </c>
      <c r="G123" t="s">
        <v>259</v>
      </c>
    </row>
    <row r="124" spans="3:17" x14ac:dyDescent="0.25">
      <c r="C124" s="30" t="s">
        <v>498</v>
      </c>
      <c r="G124" s="377" t="s">
        <v>252</v>
      </c>
      <c r="H124" s="376" t="s">
        <v>245</v>
      </c>
      <c r="I124" s="45" t="s">
        <v>246</v>
      </c>
      <c r="J124" s="376"/>
      <c r="K124" s="45" t="s">
        <v>246</v>
      </c>
      <c r="L124" s="376"/>
      <c r="M124" s="44"/>
      <c r="N124" s="44"/>
    </row>
    <row r="125" spans="3:17" x14ac:dyDescent="0.25">
      <c r="C125" s="30" t="s">
        <v>499</v>
      </c>
      <c r="G125" s="378"/>
      <c r="H125" s="376"/>
      <c r="I125" s="45" t="s">
        <v>247</v>
      </c>
      <c r="J125" s="376"/>
      <c r="K125" s="45" t="s">
        <v>248</v>
      </c>
      <c r="L125" s="376"/>
      <c r="M125" s="44"/>
      <c r="N125" s="44"/>
    </row>
    <row r="126" spans="3:17" x14ac:dyDescent="0.25">
      <c r="C126" s="30" t="s">
        <v>500</v>
      </c>
      <c r="G126" s="376" t="s">
        <v>249</v>
      </c>
      <c r="H126" s="376" t="s">
        <v>251</v>
      </c>
      <c r="I126" s="379" t="s">
        <v>250</v>
      </c>
      <c r="J126" s="379" t="s">
        <v>202</v>
      </c>
      <c r="K126" s="379" t="s">
        <v>250</v>
      </c>
      <c r="L126" s="379" t="s">
        <v>202</v>
      </c>
      <c r="M126" s="44"/>
      <c r="N126" s="44"/>
    </row>
    <row r="127" spans="3:17" x14ac:dyDescent="0.25">
      <c r="C127" s="30" t="s">
        <v>501</v>
      </c>
      <c r="G127" s="376"/>
      <c r="H127" s="376"/>
      <c r="I127" s="379"/>
      <c r="J127" s="379"/>
      <c r="K127" s="379"/>
      <c r="L127" s="379"/>
      <c r="M127" s="44"/>
      <c r="N127" s="44"/>
    </row>
    <row r="128" spans="3:17" x14ac:dyDescent="0.25">
      <c r="C128" s="30" t="s">
        <v>502</v>
      </c>
      <c r="G128" s="46">
        <v>15</v>
      </c>
      <c r="H128" s="46">
        <v>21.3</v>
      </c>
      <c r="I128" s="46">
        <v>25</v>
      </c>
      <c r="J128" s="46">
        <v>36</v>
      </c>
      <c r="K128" s="46">
        <v>28</v>
      </c>
      <c r="L128" s="46">
        <v>38</v>
      </c>
      <c r="M128" s="44"/>
      <c r="N128" s="44"/>
    </row>
    <row r="129" spans="3:14" x14ac:dyDescent="0.25">
      <c r="C129" s="30" t="s">
        <v>503</v>
      </c>
      <c r="G129" s="46">
        <v>20</v>
      </c>
      <c r="H129" s="46">
        <v>26.9</v>
      </c>
      <c r="I129" s="46">
        <v>25</v>
      </c>
      <c r="J129" s="46">
        <v>39</v>
      </c>
      <c r="K129" s="46">
        <v>29</v>
      </c>
      <c r="L129" s="46">
        <v>43</v>
      </c>
      <c r="M129" s="44"/>
      <c r="N129" s="44"/>
    </row>
    <row r="130" spans="3:14" x14ac:dyDescent="0.25">
      <c r="C130" s="56" t="s">
        <v>288</v>
      </c>
      <c r="G130" s="46">
        <v>25</v>
      </c>
      <c r="H130" s="46">
        <v>33.700000000000003</v>
      </c>
      <c r="I130" s="46">
        <v>28</v>
      </c>
      <c r="J130" s="46">
        <v>42</v>
      </c>
      <c r="K130" s="46">
        <v>38</v>
      </c>
      <c r="L130" s="46">
        <v>55</v>
      </c>
      <c r="M130" s="44"/>
      <c r="N130" s="44"/>
    </row>
    <row r="131" spans="3:14" x14ac:dyDescent="0.25">
      <c r="C131" t="s">
        <v>63</v>
      </c>
      <c r="G131" s="46">
        <v>32</v>
      </c>
      <c r="H131" s="46">
        <v>42.4</v>
      </c>
      <c r="I131" s="46">
        <v>32</v>
      </c>
      <c r="J131" s="46">
        <v>53</v>
      </c>
      <c r="K131" s="46">
        <v>48</v>
      </c>
      <c r="L131" s="46">
        <v>69</v>
      </c>
      <c r="M131" s="44"/>
      <c r="N131" s="44"/>
    </row>
    <row r="132" spans="3:14" x14ac:dyDescent="0.25">
      <c r="G132" s="46">
        <v>40</v>
      </c>
      <c r="H132" s="46">
        <v>48.3</v>
      </c>
      <c r="I132" s="46">
        <v>38</v>
      </c>
      <c r="J132" s="46">
        <v>62</v>
      </c>
      <c r="K132" s="46">
        <v>57</v>
      </c>
      <c r="L132" s="46">
        <v>82</v>
      </c>
      <c r="M132" s="44"/>
      <c r="N132" s="44"/>
    </row>
    <row r="133" spans="3:14" x14ac:dyDescent="0.25">
      <c r="C133" s="29" t="s">
        <v>27</v>
      </c>
      <c r="G133" s="46">
        <v>50</v>
      </c>
      <c r="H133" s="46">
        <v>60.3</v>
      </c>
      <c r="I133" s="46">
        <v>51</v>
      </c>
      <c r="J133" s="46">
        <v>81</v>
      </c>
      <c r="K133" s="46">
        <v>76</v>
      </c>
      <c r="L133" s="46">
        <v>106</v>
      </c>
      <c r="M133" s="44"/>
      <c r="N133" s="44"/>
    </row>
    <row r="134" spans="3:14" x14ac:dyDescent="0.25">
      <c r="C134" s="29" t="s">
        <v>1</v>
      </c>
      <c r="G134" s="46">
        <v>65</v>
      </c>
      <c r="H134" s="46">
        <v>76.099999999999994</v>
      </c>
      <c r="I134" s="46">
        <v>63</v>
      </c>
      <c r="J134" s="46">
        <v>102</v>
      </c>
      <c r="K134" s="46">
        <v>95</v>
      </c>
      <c r="L134" s="46">
        <v>133</v>
      </c>
      <c r="M134" s="44"/>
      <c r="N134" s="44"/>
    </row>
    <row r="135" spans="3:14" x14ac:dyDescent="0.25">
      <c r="C135" s="29" t="s">
        <v>3</v>
      </c>
      <c r="G135" s="46">
        <v>80</v>
      </c>
      <c r="H135" s="46">
        <v>88.9</v>
      </c>
      <c r="I135" s="46">
        <v>76</v>
      </c>
      <c r="J135" s="46">
        <v>121</v>
      </c>
      <c r="K135" s="46">
        <v>114</v>
      </c>
      <c r="L135" s="46">
        <v>159</v>
      </c>
      <c r="M135" s="44"/>
      <c r="N135" s="44"/>
    </row>
    <row r="136" spans="3:14" x14ac:dyDescent="0.25">
      <c r="C136" s="29" t="s">
        <v>4</v>
      </c>
      <c r="G136" s="46">
        <v>100</v>
      </c>
      <c r="H136" s="46">
        <v>114.3</v>
      </c>
      <c r="I136" s="46">
        <v>102</v>
      </c>
      <c r="J136" s="46">
        <v>159</v>
      </c>
      <c r="K136" s="46">
        <v>152</v>
      </c>
      <c r="L136" s="46">
        <v>209</v>
      </c>
      <c r="M136" s="44"/>
      <c r="N136" s="44"/>
    </row>
    <row r="137" spans="3:14" x14ac:dyDescent="0.25">
      <c r="C137" s="29" t="s">
        <v>5</v>
      </c>
      <c r="G137" s="46">
        <v>125</v>
      </c>
      <c r="H137" s="46">
        <v>139.69999999999999</v>
      </c>
      <c r="I137" s="46">
        <v>127</v>
      </c>
      <c r="J137" s="46">
        <v>197</v>
      </c>
      <c r="K137" s="46">
        <v>190</v>
      </c>
      <c r="L137" s="46">
        <v>260</v>
      </c>
      <c r="M137" s="44"/>
      <c r="N137" s="44"/>
    </row>
    <row r="138" spans="3:14" x14ac:dyDescent="0.25">
      <c r="C138" s="29" t="s">
        <v>6</v>
      </c>
      <c r="G138" s="46">
        <v>150</v>
      </c>
      <c r="H138" s="46">
        <v>168.3</v>
      </c>
      <c r="I138" s="46">
        <v>152</v>
      </c>
      <c r="J138" s="46">
        <v>237</v>
      </c>
      <c r="K138" s="46">
        <v>229</v>
      </c>
      <c r="L138" s="46">
        <v>313</v>
      </c>
      <c r="M138" s="44"/>
      <c r="N138" s="44"/>
    </row>
    <row r="139" spans="3:14" x14ac:dyDescent="0.25">
      <c r="C139" s="29" t="s">
        <v>7</v>
      </c>
      <c r="G139" s="46">
        <v>200</v>
      </c>
      <c r="H139" s="46">
        <v>219.1</v>
      </c>
      <c r="I139" s="46">
        <v>203</v>
      </c>
      <c r="J139" s="46">
        <v>313</v>
      </c>
      <c r="K139" s="46">
        <v>305</v>
      </c>
      <c r="L139" s="46">
        <v>414</v>
      </c>
      <c r="M139" s="44"/>
      <c r="N139" s="44"/>
    </row>
    <row r="140" spans="3:14" x14ac:dyDescent="0.25">
      <c r="C140" s="29" t="s">
        <v>8</v>
      </c>
      <c r="G140" s="46">
        <v>250</v>
      </c>
      <c r="H140" s="46">
        <v>273</v>
      </c>
      <c r="I140" s="46">
        <v>254</v>
      </c>
      <c r="J140" s="46">
        <v>391</v>
      </c>
      <c r="K140" s="46">
        <v>381</v>
      </c>
      <c r="L140" s="46">
        <v>518</v>
      </c>
      <c r="M140" s="44"/>
      <c r="N140" s="44"/>
    </row>
    <row r="141" spans="3:14" x14ac:dyDescent="0.25">
      <c r="C141" s="29" t="s">
        <v>9</v>
      </c>
      <c r="G141" s="44"/>
      <c r="H141" s="44"/>
      <c r="I141" s="44"/>
      <c r="J141" s="44"/>
      <c r="K141" s="44"/>
      <c r="L141" s="44"/>
      <c r="M141" s="44"/>
      <c r="N141" s="44"/>
    </row>
    <row r="142" spans="3:14" x14ac:dyDescent="0.25">
      <c r="C142" s="29" t="s">
        <v>10</v>
      </c>
      <c r="G142" s="44" t="s">
        <v>260</v>
      </c>
      <c r="H142" s="44"/>
      <c r="I142" s="44"/>
      <c r="J142" s="44"/>
      <c r="K142" s="44"/>
      <c r="L142" s="44"/>
      <c r="M142" s="44"/>
      <c r="N142" s="44"/>
    </row>
    <row r="143" spans="3:14" x14ac:dyDescent="0.25">
      <c r="C143" s="29" t="s">
        <v>11</v>
      </c>
      <c r="G143" s="44"/>
      <c r="H143" s="44"/>
      <c r="I143" s="44"/>
      <c r="J143" s="44"/>
      <c r="K143" s="44"/>
      <c r="L143" t="s">
        <v>262</v>
      </c>
    </row>
    <row r="144" spans="3:14" x14ac:dyDescent="0.25">
      <c r="C144" s="29" t="s">
        <v>12</v>
      </c>
      <c r="G144" s="44"/>
      <c r="H144" s="44"/>
      <c r="I144" s="44"/>
      <c r="J144" s="44"/>
      <c r="K144" s="44"/>
      <c r="L144" s="47" t="s">
        <v>249</v>
      </c>
      <c r="M144" s="47" t="s">
        <v>261</v>
      </c>
      <c r="N144" s="47" t="s">
        <v>253</v>
      </c>
    </row>
    <row r="145" spans="3:14" x14ac:dyDescent="0.25">
      <c r="C145" s="29" t="s">
        <v>13</v>
      </c>
      <c r="G145" s="44"/>
      <c r="H145" s="44"/>
      <c r="I145" s="44"/>
      <c r="J145" s="44"/>
      <c r="K145" s="44"/>
      <c r="L145" s="47">
        <v>50</v>
      </c>
      <c r="M145" s="47">
        <v>75</v>
      </c>
      <c r="N145" s="47">
        <f t="shared" ref="N145:N150" si="10">M145*2</f>
        <v>150</v>
      </c>
    </row>
    <row r="146" spans="3:14" x14ac:dyDescent="0.25">
      <c r="C146" s="29" t="s">
        <v>14</v>
      </c>
      <c r="G146" s="44"/>
      <c r="H146" s="44"/>
      <c r="I146" s="44"/>
      <c r="J146" s="44"/>
      <c r="K146" s="44"/>
      <c r="L146" s="47">
        <v>80</v>
      </c>
      <c r="M146" s="47">
        <v>95</v>
      </c>
      <c r="N146" s="47">
        <f t="shared" si="10"/>
        <v>190</v>
      </c>
    </row>
    <row r="147" spans="3:14" ht="15" customHeight="1" x14ac:dyDescent="0.25">
      <c r="C147" s="29" t="s">
        <v>15</v>
      </c>
      <c r="G147" s="44"/>
      <c r="H147" s="44"/>
      <c r="I147" s="44"/>
      <c r="J147" s="44"/>
      <c r="K147" s="44"/>
      <c r="L147" s="47">
        <v>100</v>
      </c>
      <c r="M147" s="47">
        <v>110</v>
      </c>
      <c r="N147" s="47">
        <f t="shared" si="10"/>
        <v>220</v>
      </c>
    </row>
    <row r="148" spans="3:14" ht="15" customHeight="1" x14ac:dyDescent="0.25">
      <c r="G148" s="44"/>
      <c r="H148" s="44"/>
      <c r="I148" s="44"/>
      <c r="J148" s="44"/>
      <c r="K148" s="44"/>
      <c r="L148" s="47">
        <v>125</v>
      </c>
      <c r="M148" s="47">
        <v>125</v>
      </c>
      <c r="N148" s="47">
        <f t="shared" si="10"/>
        <v>250</v>
      </c>
    </row>
    <row r="149" spans="3:14" x14ac:dyDescent="0.25">
      <c r="G149" s="44"/>
      <c r="H149" s="44"/>
      <c r="I149" s="44"/>
      <c r="J149" s="44"/>
      <c r="K149" s="44"/>
      <c r="L149" s="47">
        <v>150</v>
      </c>
      <c r="M149" s="47">
        <v>145</v>
      </c>
      <c r="N149" s="47">
        <f t="shared" si="10"/>
        <v>290</v>
      </c>
    </row>
    <row r="150" spans="3:14" ht="15" customHeight="1" x14ac:dyDescent="0.25">
      <c r="G150" s="44"/>
      <c r="H150" s="44"/>
      <c r="I150" s="44"/>
      <c r="J150" s="44"/>
      <c r="K150" s="44"/>
      <c r="L150" s="47">
        <v>200</v>
      </c>
      <c r="M150" s="47">
        <v>180</v>
      </c>
      <c r="N150" s="47">
        <f t="shared" si="10"/>
        <v>360</v>
      </c>
    </row>
    <row r="165" spans="1:15" x14ac:dyDescent="0.25">
      <c r="A165" t="s">
        <v>254</v>
      </c>
    </row>
    <row r="166" spans="1:15" x14ac:dyDescent="0.25">
      <c r="B166" t="s">
        <v>255</v>
      </c>
    </row>
    <row r="175" spans="1:15" x14ac:dyDescent="0.25">
      <c r="L175" t="s">
        <v>2</v>
      </c>
    </row>
    <row r="176" spans="1:15" x14ac:dyDescent="0.25">
      <c r="L176" s="4" t="s">
        <v>249</v>
      </c>
      <c r="M176" s="4" t="s">
        <v>256</v>
      </c>
      <c r="N176" s="4" t="s">
        <v>257</v>
      </c>
      <c r="O176" s="4" t="s">
        <v>258</v>
      </c>
    </row>
    <row r="177" spans="12:15" x14ac:dyDescent="0.25">
      <c r="L177" s="4">
        <v>15</v>
      </c>
      <c r="M177" s="4">
        <v>28</v>
      </c>
      <c r="N177" s="4">
        <v>40</v>
      </c>
      <c r="O177" s="4">
        <f>N177+(M177*0.5)</f>
        <v>54</v>
      </c>
    </row>
    <row r="178" spans="12:15" x14ac:dyDescent="0.25">
      <c r="L178" s="4">
        <v>20</v>
      </c>
      <c r="M178" s="4">
        <v>36</v>
      </c>
      <c r="N178" s="4">
        <v>50</v>
      </c>
      <c r="O178" s="4">
        <f t="shared" ref="O178:O186" si="11">N178+(M178*0.5)</f>
        <v>68</v>
      </c>
    </row>
    <row r="179" spans="12:15" x14ac:dyDescent="0.25">
      <c r="L179" s="4">
        <v>25</v>
      </c>
      <c r="M179" s="4">
        <v>41</v>
      </c>
      <c r="N179" s="4">
        <v>64</v>
      </c>
      <c r="O179" s="4">
        <f t="shared" si="11"/>
        <v>84.5</v>
      </c>
    </row>
    <row r="180" spans="12:15" x14ac:dyDescent="0.25">
      <c r="L180" s="4">
        <v>32</v>
      </c>
      <c r="M180" s="4">
        <v>51</v>
      </c>
      <c r="N180" s="4">
        <v>80</v>
      </c>
      <c r="O180" s="4">
        <f t="shared" si="11"/>
        <v>105.5</v>
      </c>
    </row>
    <row r="181" spans="12:15" x14ac:dyDescent="0.25">
      <c r="L181" s="4">
        <v>40</v>
      </c>
      <c r="M181" s="4">
        <v>61</v>
      </c>
      <c r="N181" s="4">
        <v>100</v>
      </c>
      <c r="O181" s="4">
        <f t="shared" si="11"/>
        <v>130.5</v>
      </c>
    </row>
    <row r="182" spans="12:15" x14ac:dyDescent="0.25">
      <c r="L182" s="4">
        <v>50</v>
      </c>
      <c r="M182" s="4">
        <v>75</v>
      </c>
      <c r="N182" s="4">
        <v>126</v>
      </c>
      <c r="O182" s="4">
        <f t="shared" si="11"/>
        <v>163.5</v>
      </c>
    </row>
    <row r="183" spans="12:15" x14ac:dyDescent="0.25">
      <c r="L183" s="4">
        <v>63</v>
      </c>
      <c r="M183" s="4">
        <v>95</v>
      </c>
      <c r="N183" s="4">
        <v>150</v>
      </c>
      <c r="O183" s="4">
        <f t="shared" si="11"/>
        <v>197.5</v>
      </c>
    </row>
    <row r="184" spans="12:15" x14ac:dyDescent="0.25">
      <c r="L184" s="4">
        <v>80</v>
      </c>
      <c r="M184" s="4">
        <v>113</v>
      </c>
      <c r="N184" s="4">
        <v>180</v>
      </c>
      <c r="O184" s="4">
        <f t="shared" si="11"/>
        <v>236.5</v>
      </c>
    </row>
    <row r="185" spans="12:15" x14ac:dyDescent="0.25">
      <c r="L185" s="4">
        <v>100</v>
      </c>
      <c r="M185" s="4">
        <v>137</v>
      </c>
      <c r="N185" s="4">
        <v>220</v>
      </c>
      <c r="O185" s="4">
        <f t="shared" si="11"/>
        <v>288.5</v>
      </c>
    </row>
    <row r="186" spans="12:15" x14ac:dyDescent="0.25">
      <c r="L186" s="4">
        <v>150</v>
      </c>
      <c r="M186" s="4">
        <v>189</v>
      </c>
      <c r="N186" s="4">
        <v>207</v>
      </c>
      <c r="O186" s="4">
        <f t="shared" si="11"/>
        <v>301.5</v>
      </c>
    </row>
  </sheetData>
  <sheetProtection algorithmName="SHA-512" hashValue="Sabw3mVzYkBCx5eSj+l8C2wH0ojdduiG5CDIutvoFLt7TAPMsdTXzJHwGG6fAYKk3dGAUBYch8SVPo37dOid0w==" saltValue="qFmQYafBYznzKVOb+JDDTA==" spinCount="100000" sheet="1" objects="1" scenarios="1"/>
  <mergeCells count="10">
    <mergeCell ref="H126:H127"/>
    <mergeCell ref="G124:G125"/>
    <mergeCell ref="H124:H125"/>
    <mergeCell ref="J124:J125"/>
    <mergeCell ref="L124:L125"/>
    <mergeCell ref="G126:G127"/>
    <mergeCell ref="I126:I127"/>
    <mergeCell ref="J126:J127"/>
    <mergeCell ref="K126:K127"/>
    <mergeCell ref="L126:L127"/>
  </mergeCells>
  <pageMargins left="0.7" right="0.7" top="0.78740157499999996" bottom="0.78740157499999996" header="0.3" footer="0.3"/>
  <pageSetup paperSize="9" orientation="portrait" r:id="rId1"/>
  <drawing r:id="rId2"/>
  <tableParts count="3">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M41"/>
  <sheetViews>
    <sheetView showGridLines="0" showRowColHeaders="0" topLeftCell="B10" workbookViewId="0">
      <selection activeCell="G33" sqref="G33"/>
    </sheetView>
  </sheetViews>
  <sheetFormatPr baseColWidth="10" defaultRowHeight="15" x14ac:dyDescent="0.25"/>
  <cols>
    <col min="4" max="4" width="43" customWidth="1"/>
    <col min="5" max="5" width="15.85546875" customWidth="1"/>
    <col min="6" max="6" width="17.28515625" customWidth="1"/>
    <col min="7" max="7" width="22.42578125" customWidth="1"/>
    <col min="8" max="8" width="22.28515625" customWidth="1"/>
    <col min="10" max="10" width="13.85546875" customWidth="1"/>
    <col min="13" max="13" width="51.28515625" customWidth="1"/>
  </cols>
  <sheetData>
    <row r="4" spans="4:8" x14ac:dyDescent="0.25">
      <c r="E4" t="s">
        <v>311</v>
      </c>
    </row>
    <row r="6" spans="4:8" x14ac:dyDescent="0.25">
      <c r="D6" s="380" t="s">
        <v>383</v>
      </c>
      <c r="E6" s="57" t="s">
        <v>289</v>
      </c>
      <c r="F6" s="57" t="s">
        <v>290</v>
      </c>
      <c r="G6" s="57" t="s">
        <v>291</v>
      </c>
      <c r="H6" s="57" t="s">
        <v>292</v>
      </c>
    </row>
    <row r="7" spans="4:8" ht="22.5" x14ac:dyDescent="0.25">
      <c r="D7" s="380"/>
      <c r="E7" s="58" t="s">
        <v>293</v>
      </c>
      <c r="F7" s="58" t="s">
        <v>293</v>
      </c>
      <c r="G7" s="58" t="s">
        <v>293</v>
      </c>
      <c r="H7" s="58" t="s">
        <v>293</v>
      </c>
    </row>
    <row r="8" spans="4:8" x14ac:dyDescent="0.25">
      <c r="D8" s="69" t="s">
        <v>27</v>
      </c>
      <c r="E8" s="70" t="s">
        <v>235</v>
      </c>
      <c r="F8" s="70" t="s">
        <v>236</v>
      </c>
      <c r="G8" s="70" t="s">
        <v>237</v>
      </c>
      <c r="H8" s="71" t="s">
        <v>238</v>
      </c>
    </row>
    <row r="9" spans="4:8" x14ac:dyDescent="0.25">
      <c r="D9" s="65" t="s">
        <v>364</v>
      </c>
      <c r="E9" s="59" t="s">
        <v>294</v>
      </c>
      <c r="F9" s="59" t="s">
        <v>295</v>
      </c>
      <c r="G9" s="59" t="s">
        <v>295</v>
      </c>
      <c r="H9" s="67" t="s">
        <v>295</v>
      </c>
    </row>
    <row r="10" spans="4:8" x14ac:dyDescent="0.25">
      <c r="D10" s="66" t="s">
        <v>365</v>
      </c>
      <c r="E10" s="59" t="s">
        <v>296</v>
      </c>
      <c r="F10" s="59" t="s">
        <v>297</v>
      </c>
      <c r="G10" s="59" t="s">
        <v>297</v>
      </c>
      <c r="H10" s="67" t="s">
        <v>297</v>
      </c>
    </row>
    <row r="11" spans="4:8" x14ac:dyDescent="0.25">
      <c r="D11" s="66" t="s">
        <v>366</v>
      </c>
      <c r="E11" s="59" t="s">
        <v>298</v>
      </c>
      <c r="F11" s="59" t="s">
        <v>294</v>
      </c>
      <c r="G11" s="59" t="s">
        <v>299</v>
      </c>
      <c r="H11" s="67" t="s">
        <v>294</v>
      </c>
    </row>
    <row r="12" spans="4:8" x14ac:dyDescent="0.25">
      <c r="D12" s="66" t="s">
        <v>367</v>
      </c>
      <c r="E12" s="59" t="s">
        <v>298</v>
      </c>
      <c r="F12" s="59" t="s">
        <v>294</v>
      </c>
      <c r="G12" s="59" t="s">
        <v>297</v>
      </c>
      <c r="H12" s="67" t="s">
        <v>294</v>
      </c>
    </row>
    <row r="13" spans="4:8" x14ac:dyDescent="0.25">
      <c r="D13" s="66" t="s">
        <v>368</v>
      </c>
      <c r="E13" s="59" t="s">
        <v>294</v>
      </c>
      <c r="F13" s="59" t="s">
        <v>295</v>
      </c>
      <c r="G13" s="59" t="s">
        <v>308</v>
      </c>
      <c r="H13" s="67" t="s">
        <v>295</v>
      </c>
    </row>
    <row r="14" spans="4:8" x14ac:dyDescent="0.25">
      <c r="D14" s="65" t="s">
        <v>369</v>
      </c>
      <c r="E14" s="59">
        <v>0.2</v>
      </c>
      <c r="F14" s="59">
        <v>0.2</v>
      </c>
      <c r="G14" s="59">
        <v>0.2</v>
      </c>
      <c r="H14" s="67">
        <v>0.2</v>
      </c>
    </row>
    <row r="15" spans="4:8" x14ac:dyDescent="0.25">
      <c r="D15" s="65" t="s">
        <v>370</v>
      </c>
      <c r="E15" s="59">
        <v>0.1</v>
      </c>
      <c r="F15" s="59" t="s">
        <v>308</v>
      </c>
      <c r="G15" s="59" t="s">
        <v>308</v>
      </c>
      <c r="H15" s="67" t="s">
        <v>308</v>
      </c>
    </row>
    <row r="16" spans="4:8" ht="28.5" customHeight="1" x14ac:dyDescent="0.25">
      <c r="D16" s="65" t="s">
        <v>371</v>
      </c>
      <c r="E16" s="59" t="s">
        <v>298</v>
      </c>
      <c r="F16" s="59" t="s">
        <v>296</v>
      </c>
      <c r="G16" s="59" t="s">
        <v>299</v>
      </c>
      <c r="H16" s="67" t="s">
        <v>294</v>
      </c>
    </row>
    <row r="17" spans="4:10" ht="30" customHeight="1" x14ac:dyDescent="0.25">
      <c r="D17" s="65" t="s">
        <v>372</v>
      </c>
      <c r="E17" s="59">
        <v>0.8</v>
      </c>
      <c r="F17" s="60" t="s">
        <v>308</v>
      </c>
      <c r="G17" s="60" t="s">
        <v>308</v>
      </c>
      <c r="H17" s="68" t="s">
        <v>308</v>
      </c>
    </row>
    <row r="18" spans="4:10" x14ac:dyDescent="0.25">
      <c r="D18" s="66" t="s">
        <v>373</v>
      </c>
      <c r="E18" s="59" t="s">
        <v>298</v>
      </c>
      <c r="F18" s="59" t="s">
        <v>296</v>
      </c>
      <c r="G18" s="59" t="s">
        <v>299</v>
      </c>
      <c r="H18" s="67" t="s">
        <v>294</v>
      </c>
    </row>
    <row r="19" spans="4:10" x14ac:dyDescent="0.25">
      <c r="D19" s="66" t="s">
        <v>374</v>
      </c>
      <c r="E19" s="59" t="s">
        <v>298</v>
      </c>
      <c r="F19" s="59" t="s">
        <v>296</v>
      </c>
      <c r="G19" s="59" t="s">
        <v>300</v>
      </c>
      <c r="H19" s="67" t="s">
        <v>294</v>
      </c>
    </row>
    <row r="20" spans="4:10" x14ac:dyDescent="0.25">
      <c r="D20" s="65" t="s">
        <v>375</v>
      </c>
      <c r="E20" s="59" t="s">
        <v>298</v>
      </c>
      <c r="F20" s="59" t="s">
        <v>296</v>
      </c>
      <c r="G20" s="59" t="s">
        <v>296</v>
      </c>
      <c r="H20" s="67" t="s">
        <v>294</v>
      </c>
    </row>
    <row r="21" spans="4:10" x14ac:dyDescent="0.25">
      <c r="D21" s="65" t="s">
        <v>376</v>
      </c>
      <c r="E21" s="59" t="s">
        <v>301</v>
      </c>
      <c r="F21" s="59" t="s">
        <v>302</v>
      </c>
      <c r="G21" s="59" t="s">
        <v>302</v>
      </c>
      <c r="H21" s="67" t="s">
        <v>303</v>
      </c>
      <c r="J21" s="28"/>
    </row>
    <row r="22" spans="4:10" x14ac:dyDescent="0.25">
      <c r="D22" s="66" t="s">
        <v>377</v>
      </c>
      <c r="E22" s="62">
        <v>1.8</v>
      </c>
      <c r="F22" s="59" t="s">
        <v>304</v>
      </c>
      <c r="G22" s="59" t="s">
        <v>308</v>
      </c>
      <c r="H22" s="67" t="s">
        <v>308</v>
      </c>
      <c r="J22" s="28"/>
    </row>
    <row r="23" spans="4:10" x14ac:dyDescent="0.25">
      <c r="D23" s="66" t="s">
        <v>378</v>
      </c>
      <c r="E23" s="59" t="s">
        <v>305</v>
      </c>
      <c r="F23" s="59" t="s">
        <v>304</v>
      </c>
      <c r="G23" s="59">
        <v>1.2</v>
      </c>
      <c r="H23" s="67" t="s">
        <v>305</v>
      </c>
      <c r="J23" s="28"/>
    </row>
    <row r="24" spans="4:10" x14ac:dyDescent="0.25">
      <c r="D24" s="66" t="s">
        <v>379</v>
      </c>
      <c r="E24" s="59" t="s">
        <v>305</v>
      </c>
      <c r="F24" s="59" t="s">
        <v>304</v>
      </c>
      <c r="G24" s="61">
        <v>1.4</v>
      </c>
      <c r="H24" s="67" t="s">
        <v>305</v>
      </c>
      <c r="J24" s="28"/>
    </row>
    <row r="25" spans="4:10" x14ac:dyDescent="0.25">
      <c r="D25" s="66" t="s">
        <v>380</v>
      </c>
      <c r="E25" s="59" t="s">
        <v>306</v>
      </c>
      <c r="F25" s="59" t="s">
        <v>305</v>
      </c>
      <c r="G25" s="59">
        <v>1.6</v>
      </c>
      <c r="H25" s="67" t="s">
        <v>306</v>
      </c>
      <c r="J25" s="64"/>
    </row>
    <row r="26" spans="4:10" x14ac:dyDescent="0.25">
      <c r="D26" s="65" t="s">
        <v>381</v>
      </c>
      <c r="E26" s="59" t="s">
        <v>298</v>
      </c>
      <c r="F26" s="59" t="s">
        <v>307</v>
      </c>
      <c r="G26" s="59" t="s">
        <v>308</v>
      </c>
      <c r="H26" s="67" t="s">
        <v>296</v>
      </c>
      <c r="J26" s="64"/>
    </row>
    <row r="27" spans="4:10" x14ac:dyDescent="0.25">
      <c r="D27" s="65" t="s">
        <v>355</v>
      </c>
      <c r="E27" s="59" t="s">
        <v>301</v>
      </c>
      <c r="F27" s="59" t="s">
        <v>307</v>
      </c>
      <c r="G27" s="59" t="s">
        <v>308</v>
      </c>
      <c r="H27" s="67" t="s">
        <v>303</v>
      </c>
    </row>
    <row r="28" spans="4:10" ht="21.75" customHeight="1" x14ac:dyDescent="0.25">
      <c r="D28" s="72" t="s">
        <v>382</v>
      </c>
      <c r="E28" s="73" t="s">
        <v>305</v>
      </c>
      <c r="F28" s="73" t="s">
        <v>302</v>
      </c>
      <c r="G28" s="73" t="s">
        <v>308</v>
      </c>
      <c r="H28" s="74" t="s">
        <v>299</v>
      </c>
    </row>
    <row r="29" spans="4:10" ht="24" customHeight="1" x14ac:dyDescent="0.25">
      <c r="D29" s="381" t="s">
        <v>309</v>
      </c>
      <c r="E29" s="381"/>
      <c r="F29" s="381"/>
      <c r="G29" s="381"/>
      <c r="H29" s="381"/>
      <c r="J29" s="41"/>
    </row>
    <row r="31" spans="4:10" x14ac:dyDescent="0.25">
      <c r="D31" s="63" t="s">
        <v>310</v>
      </c>
    </row>
    <row r="37" spans="13:13" ht="15.75" x14ac:dyDescent="0.25">
      <c r="M37" s="40" t="s">
        <v>27</v>
      </c>
    </row>
    <row r="38" spans="13:13" ht="15.75" x14ac:dyDescent="0.25">
      <c r="M38" s="40" t="s">
        <v>360</v>
      </c>
    </row>
    <row r="39" spans="13:13" ht="15.75" x14ac:dyDescent="0.25">
      <c r="M39" s="40" t="s">
        <v>361</v>
      </c>
    </row>
    <row r="40" spans="13:13" ht="15.75" x14ac:dyDescent="0.25">
      <c r="M40" s="40" t="s">
        <v>362</v>
      </c>
    </row>
    <row r="41" spans="13:13" ht="15.75" x14ac:dyDescent="0.25">
      <c r="M41" s="40" t="s">
        <v>363</v>
      </c>
    </row>
  </sheetData>
  <sheetProtection algorithmName="SHA-512" hashValue="ECEh1d5kE6i1Ap4RKgEmGzMCFobzbI/sHvF5viKiFwgFJBWm4B96G1/QzRaHgqTdDsAeySAPP3MJ5PHQNWKxDw==" saltValue="RK7mK4AXI/ElNCN4bWeyKg==" spinCount="100000" sheet="1" objects="1" scenarios="1"/>
  <mergeCells count="2">
    <mergeCell ref="D6:D7"/>
    <mergeCell ref="D29:H29"/>
  </mergeCells>
  <pageMargins left="0.7" right="0.7" top="0.78740157499999996" bottom="0.78740157499999996" header="0.3" footer="0.3"/>
  <pageSetup paperSize="9"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M132"/>
  <sheetViews>
    <sheetView showGridLines="0" showRowColHeaders="0" workbookViewId="0">
      <selection activeCell="D12" sqref="D12"/>
    </sheetView>
  </sheetViews>
  <sheetFormatPr baseColWidth="10" defaultColWidth="11.42578125" defaultRowHeight="15" x14ac:dyDescent="0.25"/>
  <cols>
    <col min="4" max="4" width="82.140625" customWidth="1"/>
    <col min="8" max="8" width="29.28515625" customWidth="1"/>
    <col min="9" max="9" width="11" customWidth="1"/>
    <col min="10" max="10" width="9.28515625" customWidth="1"/>
    <col min="11" max="11" width="9.7109375" customWidth="1"/>
  </cols>
  <sheetData>
    <row r="4" spans="4:13" ht="15" customHeight="1" x14ac:dyDescent="0.25">
      <c r="G4" s="36"/>
      <c r="H4" s="36"/>
      <c r="I4" s="36"/>
    </row>
    <row r="5" spans="4:13" x14ac:dyDescent="0.25">
      <c r="D5" s="36"/>
      <c r="E5" s="36"/>
      <c r="F5" s="36"/>
      <c r="G5" s="36"/>
      <c r="H5" s="36"/>
      <c r="I5" s="36"/>
    </row>
    <row r="6" spans="4:13" ht="18" customHeight="1" x14ac:dyDescent="0.25">
      <c r="D6" s="37" t="s">
        <v>85</v>
      </c>
      <c r="E6" s="37" t="s">
        <v>102</v>
      </c>
      <c r="F6" s="37" t="s">
        <v>103</v>
      </c>
      <c r="G6" s="4"/>
      <c r="H6" s="4"/>
      <c r="I6" s="4"/>
    </row>
    <row r="7" spans="4:13" x14ac:dyDescent="0.25">
      <c r="D7" s="1" t="s">
        <v>413</v>
      </c>
      <c r="E7" s="4">
        <v>1</v>
      </c>
      <c r="F7" s="4">
        <v>0.9</v>
      </c>
      <c r="G7" s="1"/>
      <c r="H7" s="1"/>
      <c r="I7" s="1"/>
      <c r="J7" s="1"/>
      <c r="K7" s="2"/>
      <c r="L7" s="1"/>
      <c r="M7" s="1"/>
    </row>
    <row r="8" spans="4:13" x14ac:dyDescent="0.25">
      <c r="D8" s="1" t="s">
        <v>414</v>
      </c>
      <c r="E8" s="4">
        <v>1</v>
      </c>
      <c r="F8" s="4">
        <v>0.8</v>
      </c>
      <c r="G8" s="1"/>
      <c r="H8" s="1"/>
      <c r="I8" s="1"/>
      <c r="J8" s="1"/>
      <c r="K8" s="2"/>
      <c r="L8" s="1"/>
      <c r="M8" s="1"/>
    </row>
    <row r="9" spans="4:13" x14ac:dyDescent="0.25">
      <c r="D9" s="1" t="s">
        <v>415</v>
      </c>
      <c r="E9" s="4">
        <v>1</v>
      </c>
      <c r="F9" s="4">
        <v>0.9</v>
      </c>
      <c r="G9" s="1"/>
      <c r="H9" s="1"/>
      <c r="I9" s="1"/>
    </row>
    <row r="10" spans="4:13" x14ac:dyDescent="0.25">
      <c r="D10" s="1" t="s">
        <v>416</v>
      </c>
      <c r="E10" s="4">
        <v>1</v>
      </c>
      <c r="F10" s="4">
        <v>0.9</v>
      </c>
      <c r="G10" s="1"/>
      <c r="H10" s="1"/>
      <c r="I10" s="1"/>
    </row>
    <row r="11" spans="4:13" x14ac:dyDescent="0.25">
      <c r="D11" s="1" t="s">
        <v>417</v>
      </c>
      <c r="E11" s="4">
        <v>0.8</v>
      </c>
      <c r="F11" s="4">
        <v>0.8</v>
      </c>
      <c r="G11" s="1"/>
      <c r="H11" s="1"/>
      <c r="I11" s="1"/>
    </row>
    <row r="12" spans="4:13" ht="17.25" x14ac:dyDescent="0.25">
      <c r="D12" s="1" t="s">
        <v>418</v>
      </c>
      <c r="E12" s="4">
        <v>0.7</v>
      </c>
      <c r="F12" s="4">
        <v>0.4</v>
      </c>
      <c r="G12" s="1"/>
      <c r="H12" s="1"/>
      <c r="I12" s="1"/>
    </row>
    <row r="13" spans="4:13" ht="17.25" x14ac:dyDescent="0.25">
      <c r="D13" s="1" t="s">
        <v>419</v>
      </c>
      <c r="E13" s="4">
        <v>0.2</v>
      </c>
      <c r="F13" s="4">
        <v>0.1</v>
      </c>
      <c r="G13" s="1"/>
      <c r="H13" s="1"/>
      <c r="I13" s="1"/>
    </row>
    <row r="14" spans="4:13" ht="17.25" x14ac:dyDescent="0.25">
      <c r="D14" s="1" t="s">
        <v>420</v>
      </c>
      <c r="E14" s="4">
        <v>0.4</v>
      </c>
      <c r="F14" s="4">
        <v>0.2</v>
      </c>
      <c r="G14" s="1"/>
      <c r="H14" s="1"/>
      <c r="I14" s="1"/>
    </row>
    <row r="15" spans="4:13" ht="17.25" x14ac:dyDescent="0.25">
      <c r="D15" s="1" t="s">
        <v>421</v>
      </c>
      <c r="E15" s="4">
        <v>0.5</v>
      </c>
      <c r="F15" s="4">
        <v>0.3</v>
      </c>
      <c r="G15" s="1"/>
      <c r="H15" s="1"/>
      <c r="I15" s="1"/>
    </row>
    <row r="16" spans="4:13" x14ac:dyDescent="0.25">
      <c r="D16" s="1" t="s">
        <v>422</v>
      </c>
      <c r="E16" s="4">
        <v>1</v>
      </c>
      <c r="F16" s="4">
        <v>0.9</v>
      </c>
      <c r="G16" s="1"/>
      <c r="H16" s="1"/>
      <c r="I16" s="1"/>
    </row>
    <row r="17" spans="4:9" ht="21.75" customHeight="1" x14ac:dyDescent="0.25">
      <c r="D17" s="2" t="s">
        <v>423</v>
      </c>
      <c r="E17" s="4">
        <v>1</v>
      </c>
      <c r="F17" s="4">
        <v>0.9</v>
      </c>
      <c r="G17" s="1"/>
      <c r="H17" s="1"/>
      <c r="I17" s="1"/>
    </row>
    <row r="18" spans="4:9" ht="32.25" customHeight="1" x14ac:dyDescent="0.25">
      <c r="D18" s="2" t="s">
        <v>424</v>
      </c>
      <c r="E18" s="4">
        <v>1</v>
      </c>
      <c r="F18" s="4">
        <v>0.8</v>
      </c>
      <c r="G18" s="1"/>
      <c r="H18" s="1"/>
      <c r="I18" s="1"/>
    </row>
    <row r="19" spans="4:9" ht="21" customHeight="1" x14ac:dyDescent="0.25">
      <c r="D19" s="2" t="s">
        <v>425</v>
      </c>
      <c r="E19" s="4">
        <v>1</v>
      </c>
      <c r="F19" s="4">
        <v>1</v>
      </c>
      <c r="G19" s="1"/>
      <c r="H19" s="1"/>
      <c r="I19" s="1"/>
    </row>
    <row r="20" spans="4:9" ht="40.5" customHeight="1" x14ac:dyDescent="0.25">
      <c r="D20" s="2" t="s">
        <v>426</v>
      </c>
      <c r="E20" s="4">
        <v>0.9</v>
      </c>
      <c r="F20" s="4">
        <v>0.7</v>
      </c>
      <c r="G20" s="1"/>
      <c r="H20" s="1"/>
      <c r="I20" s="1"/>
    </row>
    <row r="21" spans="4:9" ht="45.75" customHeight="1" x14ac:dyDescent="0.25">
      <c r="D21" s="2" t="s">
        <v>427</v>
      </c>
      <c r="E21" s="4">
        <v>0.7</v>
      </c>
      <c r="F21" s="4">
        <v>0.6</v>
      </c>
      <c r="G21" s="1"/>
      <c r="H21" s="1"/>
      <c r="I21" s="1"/>
    </row>
    <row r="22" spans="4:9" ht="42" customHeight="1" x14ac:dyDescent="0.25">
      <c r="D22" s="2" t="s">
        <v>428</v>
      </c>
      <c r="E22" s="4">
        <v>0.9</v>
      </c>
      <c r="F22" s="4">
        <v>0.7</v>
      </c>
      <c r="G22" s="1"/>
      <c r="H22" s="1"/>
      <c r="I22" s="1"/>
    </row>
    <row r="23" spans="4:9" ht="48" customHeight="1" x14ac:dyDescent="0.25">
      <c r="D23" s="2" t="s">
        <v>429</v>
      </c>
      <c r="E23" s="4">
        <v>0.3</v>
      </c>
      <c r="F23" s="4">
        <v>0.2</v>
      </c>
      <c r="G23" s="1"/>
      <c r="H23" s="1"/>
      <c r="I23" s="1"/>
    </row>
    <row r="24" spans="4:9" ht="42.75" customHeight="1" x14ac:dyDescent="0.25">
      <c r="D24" s="2" t="s">
        <v>430</v>
      </c>
      <c r="E24" s="4">
        <v>0.4</v>
      </c>
      <c r="F24" s="4">
        <v>0.25</v>
      </c>
      <c r="G24" s="1"/>
      <c r="H24" s="1"/>
      <c r="I24" s="1"/>
    </row>
    <row r="25" spans="4:9" ht="48.75" customHeight="1" x14ac:dyDescent="0.25">
      <c r="D25" s="2" t="s">
        <v>431</v>
      </c>
      <c r="E25" s="4">
        <v>0.4</v>
      </c>
      <c r="F25" s="4">
        <v>0.2</v>
      </c>
      <c r="G25" s="1"/>
      <c r="H25" s="1"/>
      <c r="I25" s="1"/>
    </row>
    <row r="26" spans="4:9" ht="51.75" customHeight="1" x14ac:dyDescent="0.25">
      <c r="D26" s="2" t="s">
        <v>432</v>
      </c>
      <c r="E26" s="4">
        <v>0.2</v>
      </c>
      <c r="F26" s="4">
        <v>0.1</v>
      </c>
      <c r="G26" s="1"/>
      <c r="H26" s="1"/>
      <c r="I26" s="1"/>
    </row>
    <row r="27" spans="4:9" x14ac:dyDescent="0.25">
      <c r="D27" s="1" t="s">
        <v>433</v>
      </c>
      <c r="E27" s="4">
        <v>0.6</v>
      </c>
      <c r="F27" s="4">
        <v>0.5</v>
      </c>
      <c r="G27" s="1"/>
      <c r="H27" s="1"/>
      <c r="I27" s="1"/>
    </row>
    <row r="28" spans="4:9" ht="19.5" customHeight="1" x14ac:dyDescent="0.25">
      <c r="D28" s="1" t="s">
        <v>434</v>
      </c>
      <c r="E28" s="4">
        <v>0.3</v>
      </c>
      <c r="F28" s="4">
        <v>0.2</v>
      </c>
      <c r="G28" s="1"/>
      <c r="H28" s="1"/>
      <c r="I28" s="1"/>
    </row>
    <row r="29" spans="4:9" ht="19.5" customHeight="1" x14ac:dyDescent="0.25">
      <c r="D29" s="1" t="s">
        <v>435</v>
      </c>
      <c r="E29" s="4">
        <v>0.2</v>
      </c>
      <c r="F29" s="4">
        <v>0.1</v>
      </c>
      <c r="G29" s="1"/>
      <c r="H29" s="1"/>
      <c r="I29" s="1"/>
    </row>
    <row r="30" spans="4:9" ht="23.25" customHeight="1" x14ac:dyDescent="0.25">
      <c r="D30" s="1" t="s">
        <v>436</v>
      </c>
      <c r="E30" s="4">
        <v>0.2</v>
      </c>
      <c r="F30" s="4">
        <v>0.1</v>
      </c>
      <c r="G30" s="1"/>
      <c r="H30" s="1"/>
      <c r="I30" s="1"/>
    </row>
    <row r="31" spans="4:9" ht="28.5" customHeight="1" x14ac:dyDescent="0.25">
      <c r="D31" s="1" t="s">
        <v>437</v>
      </c>
      <c r="E31" s="4">
        <v>0.3</v>
      </c>
      <c r="F31" s="4">
        <v>0.2</v>
      </c>
      <c r="G31" s="1"/>
      <c r="H31" s="1"/>
      <c r="I31" s="1"/>
    </row>
    <row r="32" spans="4:9" ht="33.75" customHeight="1" x14ac:dyDescent="0.25">
      <c r="D32" s="10" t="s">
        <v>438</v>
      </c>
      <c r="E32" s="4"/>
      <c r="F32" s="4"/>
      <c r="G32" s="9"/>
      <c r="H32" s="9"/>
      <c r="I32" s="9"/>
    </row>
    <row r="33" spans="4:11" ht="50.25" customHeight="1" x14ac:dyDescent="0.25">
      <c r="D33" s="9" t="s">
        <v>410</v>
      </c>
      <c r="E33" s="4"/>
      <c r="F33" s="4"/>
      <c r="G33" s="9"/>
      <c r="H33" s="9"/>
      <c r="I33" s="9"/>
    </row>
    <row r="34" spans="4:11" ht="49.5" customHeight="1" x14ac:dyDescent="0.25">
      <c r="D34" s="9" t="s">
        <v>439</v>
      </c>
      <c r="E34" s="4"/>
      <c r="F34" s="4"/>
      <c r="G34" s="9"/>
      <c r="H34" s="9"/>
      <c r="I34" s="9"/>
    </row>
    <row r="38" spans="4:11" x14ac:dyDescent="0.25">
      <c r="H38" s="1"/>
      <c r="I38" s="3" t="s">
        <v>108</v>
      </c>
      <c r="J38" s="3" t="s">
        <v>108</v>
      </c>
      <c r="K38" s="3" t="s">
        <v>108</v>
      </c>
    </row>
    <row r="39" spans="4:11" ht="48" x14ac:dyDescent="0.25">
      <c r="H39" s="1" t="s">
        <v>104</v>
      </c>
      <c r="I39" s="2" t="s">
        <v>105</v>
      </c>
      <c r="J39" s="1" t="s">
        <v>106</v>
      </c>
      <c r="K39" s="1" t="s">
        <v>107</v>
      </c>
    </row>
    <row r="40" spans="4:11" x14ac:dyDescent="0.25">
      <c r="H40" s="1"/>
      <c r="I40" s="2"/>
      <c r="J40" s="1"/>
      <c r="K40" s="1"/>
    </row>
    <row r="41" spans="4:11" x14ac:dyDescent="0.25">
      <c r="H41" s="38" t="s">
        <v>109</v>
      </c>
      <c r="I41" s="4">
        <v>463</v>
      </c>
      <c r="J41" s="4">
        <v>384</v>
      </c>
      <c r="K41" s="4">
        <v>206</v>
      </c>
    </row>
    <row r="42" spans="4:11" x14ac:dyDescent="0.25">
      <c r="H42" s="39" t="s">
        <v>110</v>
      </c>
      <c r="I42" s="4">
        <v>529</v>
      </c>
      <c r="J42" s="4">
        <v>434</v>
      </c>
      <c r="K42" s="4">
        <v>221</v>
      </c>
    </row>
    <row r="43" spans="4:11" x14ac:dyDescent="0.25">
      <c r="H43" s="39" t="s">
        <v>111</v>
      </c>
      <c r="I43" s="4">
        <v>684</v>
      </c>
      <c r="J43" s="4">
        <v>550</v>
      </c>
      <c r="K43" s="4">
        <v>250</v>
      </c>
    </row>
    <row r="44" spans="4:11" x14ac:dyDescent="0.25">
      <c r="H44" s="39" t="s">
        <v>112</v>
      </c>
      <c r="I44" s="4">
        <v>506</v>
      </c>
      <c r="J44" s="4">
        <v>414</v>
      </c>
      <c r="K44" s="4">
        <v>207</v>
      </c>
    </row>
    <row r="45" spans="4:11" x14ac:dyDescent="0.25">
      <c r="H45" s="39" t="s">
        <v>113</v>
      </c>
      <c r="I45" s="4">
        <v>790</v>
      </c>
      <c r="J45" s="4">
        <v>631</v>
      </c>
      <c r="K45" s="4">
        <v>274</v>
      </c>
    </row>
    <row r="46" spans="4:11" x14ac:dyDescent="0.25">
      <c r="H46" s="39" t="s">
        <v>114</v>
      </c>
      <c r="I46" s="4">
        <v>630</v>
      </c>
      <c r="J46" s="4">
        <v>513</v>
      </c>
      <c r="K46" s="4">
        <v>250</v>
      </c>
    </row>
    <row r="47" spans="4:11" x14ac:dyDescent="0.25">
      <c r="H47" s="39" t="s">
        <v>115</v>
      </c>
      <c r="I47" s="4">
        <v>767</v>
      </c>
      <c r="J47" s="4">
        <v>638</v>
      </c>
      <c r="K47" s="4">
        <v>345</v>
      </c>
    </row>
    <row r="48" spans="4:11" x14ac:dyDescent="0.25">
      <c r="H48" s="39" t="s">
        <v>116</v>
      </c>
      <c r="I48" s="4">
        <v>527</v>
      </c>
      <c r="J48" s="4">
        <v>437</v>
      </c>
      <c r="K48" s="4">
        <v>235</v>
      </c>
    </row>
    <row r="49" spans="8:11" x14ac:dyDescent="0.25">
      <c r="H49" s="39" t="s">
        <v>117</v>
      </c>
      <c r="I49" s="4">
        <v>644</v>
      </c>
      <c r="J49" s="4">
        <v>524</v>
      </c>
      <c r="K49" s="4">
        <v>256</v>
      </c>
    </row>
    <row r="50" spans="8:11" x14ac:dyDescent="0.25">
      <c r="H50" s="39" t="s">
        <v>118</v>
      </c>
      <c r="I50" s="4">
        <v>582</v>
      </c>
      <c r="J50" s="4">
        <v>481</v>
      </c>
      <c r="K50" s="4">
        <v>254</v>
      </c>
    </row>
    <row r="51" spans="8:11" x14ac:dyDescent="0.25">
      <c r="H51" s="39" t="s">
        <v>119</v>
      </c>
      <c r="I51" s="4">
        <v>533</v>
      </c>
      <c r="J51" s="4">
        <v>433</v>
      </c>
      <c r="K51" s="4">
        <v>209</v>
      </c>
    </row>
    <row r="52" spans="8:11" x14ac:dyDescent="0.25">
      <c r="H52" s="39" t="s">
        <v>120</v>
      </c>
      <c r="I52" s="4">
        <v>432</v>
      </c>
      <c r="J52" s="4">
        <v>361</v>
      </c>
      <c r="K52" s="4">
        <v>201</v>
      </c>
    </row>
    <row r="53" spans="8:11" x14ac:dyDescent="0.25">
      <c r="H53" s="39" t="s">
        <v>121</v>
      </c>
      <c r="I53" s="4">
        <v>533</v>
      </c>
      <c r="J53" s="4">
        <v>433</v>
      </c>
      <c r="K53" s="4">
        <v>209</v>
      </c>
    </row>
    <row r="54" spans="8:11" x14ac:dyDescent="0.25">
      <c r="H54" s="39" t="s">
        <v>122</v>
      </c>
      <c r="I54" s="4">
        <v>633</v>
      </c>
      <c r="J54" s="4">
        <v>511</v>
      </c>
      <c r="K54" s="4">
        <v>237</v>
      </c>
    </row>
    <row r="55" spans="8:11" x14ac:dyDescent="0.25">
      <c r="H55" s="39" t="s">
        <v>123</v>
      </c>
      <c r="I55" s="4">
        <v>434</v>
      </c>
      <c r="J55" s="4">
        <v>358</v>
      </c>
      <c r="K55" s="4">
        <v>189</v>
      </c>
    </row>
    <row r="56" spans="8:11" x14ac:dyDescent="0.25">
      <c r="H56" s="39" t="s">
        <v>124</v>
      </c>
      <c r="I56" s="4">
        <v>580</v>
      </c>
      <c r="J56" s="4">
        <v>473</v>
      </c>
      <c r="K56" s="4">
        <v>232</v>
      </c>
    </row>
    <row r="57" spans="8:11" x14ac:dyDescent="0.25">
      <c r="H57" s="39" t="s">
        <v>125</v>
      </c>
      <c r="I57" s="4">
        <v>582</v>
      </c>
      <c r="J57" s="4">
        <v>481</v>
      </c>
      <c r="K57" s="4">
        <v>254</v>
      </c>
    </row>
    <row r="58" spans="8:11" x14ac:dyDescent="0.25">
      <c r="H58" s="39" t="s">
        <v>126</v>
      </c>
      <c r="I58" s="4">
        <v>686</v>
      </c>
      <c r="J58" s="4">
        <v>550</v>
      </c>
      <c r="K58" s="4">
        <v>245</v>
      </c>
    </row>
    <row r="59" spans="8:11" x14ac:dyDescent="0.25">
      <c r="H59" s="39" t="s">
        <v>127</v>
      </c>
      <c r="I59" s="4">
        <v>532</v>
      </c>
      <c r="J59" s="4">
        <v>435</v>
      </c>
      <c r="K59" s="4">
        <v>216</v>
      </c>
    </row>
    <row r="60" spans="8:11" x14ac:dyDescent="0.25">
      <c r="H60" s="39" t="s">
        <v>128</v>
      </c>
      <c r="I60" s="4">
        <v>531</v>
      </c>
      <c r="J60" s="4">
        <v>438</v>
      </c>
      <c r="K60" s="4">
        <v>230</v>
      </c>
    </row>
    <row r="61" spans="8:11" x14ac:dyDescent="0.25">
      <c r="H61" s="39" t="s">
        <v>129</v>
      </c>
      <c r="I61" s="4">
        <v>630</v>
      </c>
      <c r="J61" s="4">
        <v>513</v>
      </c>
      <c r="K61" s="4">
        <v>250</v>
      </c>
    </row>
    <row r="62" spans="8:11" x14ac:dyDescent="0.25">
      <c r="H62" s="39" t="s">
        <v>130</v>
      </c>
      <c r="I62" s="4">
        <v>630</v>
      </c>
      <c r="J62" s="4">
        <v>510</v>
      </c>
      <c r="K62" s="4">
        <v>242</v>
      </c>
    </row>
    <row r="63" spans="8:11" x14ac:dyDescent="0.25">
      <c r="H63" s="39" t="s">
        <v>131</v>
      </c>
      <c r="I63" s="4">
        <v>531</v>
      </c>
      <c r="J63" s="4">
        <v>438</v>
      </c>
      <c r="K63" s="4">
        <v>230</v>
      </c>
    </row>
    <row r="64" spans="8:11" x14ac:dyDescent="0.25">
      <c r="H64" s="39" t="s">
        <v>132</v>
      </c>
      <c r="I64" s="4">
        <v>633</v>
      </c>
      <c r="J64" s="4">
        <v>511</v>
      </c>
      <c r="K64" s="4">
        <v>237</v>
      </c>
    </row>
    <row r="65" spans="8:11" x14ac:dyDescent="0.25">
      <c r="H65" s="39" t="s">
        <v>133</v>
      </c>
      <c r="I65" s="4">
        <v>492</v>
      </c>
      <c r="J65" s="4">
        <v>407</v>
      </c>
      <c r="K65" s="4">
        <v>216</v>
      </c>
    </row>
    <row r="66" spans="8:11" x14ac:dyDescent="0.25">
      <c r="H66" s="39" t="s">
        <v>134</v>
      </c>
      <c r="I66" s="4">
        <v>506</v>
      </c>
      <c r="J66" s="4">
        <v>412</v>
      </c>
      <c r="K66" s="4">
        <v>200</v>
      </c>
    </row>
    <row r="67" spans="8:11" x14ac:dyDescent="0.25">
      <c r="H67" s="39" t="s">
        <v>135</v>
      </c>
      <c r="I67" s="4">
        <v>463</v>
      </c>
      <c r="J67" s="4">
        <v>388</v>
      </c>
      <c r="K67" s="4">
        <v>220</v>
      </c>
    </row>
    <row r="68" spans="8:11" x14ac:dyDescent="0.25">
      <c r="H68" s="39" t="s">
        <v>136</v>
      </c>
      <c r="I68" s="4">
        <v>633</v>
      </c>
      <c r="J68" s="4">
        <v>511</v>
      </c>
      <c r="K68" s="4">
        <v>237</v>
      </c>
    </row>
    <row r="69" spans="8:11" x14ac:dyDescent="0.25">
      <c r="H69" s="39" t="s">
        <v>137</v>
      </c>
      <c r="I69" s="4">
        <v>527</v>
      </c>
      <c r="J69" s="4">
        <v>442</v>
      </c>
      <c r="K69" s="4">
        <v>249</v>
      </c>
    </row>
    <row r="70" spans="8:11" x14ac:dyDescent="0.25">
      <c r="H70" s="39" t="s">
        <v>138</v>
      </c>
      <c r="I70" s="4">
        <v>630</v>
      </c>
      <c r="J70" s="4">
        <v>513</v>
      </c>
      <c r="K70" s="4">
        <v>250</v>
      </c>
    </row>
    <row r="71" spans="8:11" x14ac:dyDescent="0.25">
      <c r="H71" s="39" t="s">
        <v>139</v>
      </c>
      <c r="I71" s="4">
        <v>519</v>
      </c>
      <c r="J71" s="4">
        <v>432</v>
      </c>
      <c r="K71" s="4">
        <v>237</v>
      </c>
    </row>
    <row r="72" spans="8:11" x14ac:dyDescent="0.25">
      <c r="H72" s="39" t="s">
        <v>140</v>
      </c>
      <c r="I72" s="4">
        <v>627</v>
      </c>
      <c r="J72" s="4">
        <v>510</v>
      </c>
      <c r="K72" s="4">
        <v>247</v>
      </c>
    </row>
    <row r="73" spans="8:11" x14ac:dyDescent="0.25">
      <c r="H73" s="39" t="s">
        <v>141</v>
      </c>
      <c r="I73" s="4">
        <v>489</v>
      </c>
      <c r="J73" s="4">
        <v>406</v>
      </c>
      <c r="K73" s="4">
        <v>221</v>
      </c>
    </row>
    <row r="74" spans="8:11" x14ac:dyDescent="0.25">
      <c r="H74" s="39" t="s">
        <v>142</v>
      </c>
      <c r="I74" s="4">
        <v>630</v>
      </c>
      <c r="J74" s="4">
        <v>513</v>
      </c>
      <c r="K74" s="4">
        <v>250</v>
      </c>
    </row>
    <row r="75" spans="8:11" x14ac:dyDescent="0.25">
      <c r="H75" s="39" t="s">
        <v>143</v>
      </c>
      <c r="I75" s="4">
        <v>630</v>
      </c>
      <c r="J75" s="4">
        <v>510</v>
      </c>
      <c r="K75" s="4">
        <v>242</v>
      </c>
    </row>
    <row r="76" spans="8:11" x14ac:dyDescent="0.25">
      <c r="H76" s="39" t="s">
        <v>144</v>
      </c>
      <c r="I76" s="4">
        <v>531</v>
      </c>
      <c r="J76" s="4">
        <v>438</v>
      </c>
      <c r="K76" s="4">
        <v>230</v>
      </c>
    </row>
    <row r="77" spans="8:11" x14ac:dyDescent="0.25">
      <c r="H77" s="39" t="s">
        <v>145</v>
      </c>
      <c r="I77" s="4">
        <v>463</v>
      </c>
      <c r="J77" s="4">
        <v>384</v>
      </c>
      <c r="K77" s="4">
        <v>206</v>
      </c>
    </row>
    <row r="78" spans="8:11" x14ac:dyDescent="0.25">
      <c r="H78" s="39" t="s">
        <v>146</v>
      </c>
      <c r="I78" s="4">
        <v>529</v>
      </c>
      <c r="J78" s="4">
        <v>434</v>
      </c>
      <c r="K78" s="4">
        <v>221</v>
      </c>
    </row>
    <row r="79" spans="8:11" x14ac:dyDescent="0.25">
      <c r="H79" s="39" t="s">
        <v>147</v>
      </c>
      <c r="I79" s="4">
        <v>686</v>
      </c>
      <c r="J79" s="4">
        <v>550</v>
      </c>
      <c r="K79" s="4">
        <v>245</v>
      </c>
    </row>
    <row r="80" spans="8:11" x14ac:dyDescent="0.25">
      <c r="H80" s="39" t="s">
        <v>148</v>
      </c>
      <c r="I80" s="4">
        <v>463</v>
      </c>
      <c r="J80" s="4">
        <v>384</v>
      </c>
      <c r="K80" s="4">
        <v>206</v>
      </c>
    </row>
    <row r="81" spans="8:11" x14ac:dyDescent="0.25">
      <c r="H81" s="39" t="s">
        <v>149</v>
      </c>
      <c r="I81" s="4">
        <v>586</v>
      </c>
      <c r="J81" s="4">
        <v>482</v>
      </c>
      <c r="K81" s="4">
        <v>249</v>
      </c>
    </row>
    <row r="82" spans="8:11" x14ac:dyDescent="0.25">
      <c r="H82" s="39" t="s">
        <v>150</v>
      </c>
      <c r="I82" s="4">
        <v>489</v>
      </c>
      <c r="J82" s="4">
        <v>406</v>
      </c>
      <c r="K82" s="4">
        <v>221</v>
      </c>
    </row>
    <row r="83" spans="8:11" x14ac:dyDescent="0.25">
      <c r="H83" s="39" t="s">
        <v>151</v>
      </c>
      <c r="I83" s="4">
        <v>630</v>
      </c>
      <c r="J83" s="4">
        <v>510</v>
      </c>
      <c r="K83" s="4">
        <v>242</v>
      </c>
    </row>
    <row r="84" spans="8:11" x14ac:dyDescent="0.25">
      <c r="H84" s="39" t="s">
        <v>152</v>
      </c>
      <c r="I84" s="4">
        <v>492</v>
      </c>
      <c r="J84" s="4">
        <v>407</v>
      </c>
      <c r="K84" s="4">
        <v>216</v>
      </c>
    </row>
    <row r="85" spans="8:11" x14ac:dyDescent="0.25">
      <c r="H85" s="39" t="s">
        <v>153</v>
      </c>
      <c r="I85" s="4">
        <v>527</v>
      </c>
      <c r="J85" s="4">
        <v>437</v>
      </c>
      <c r="K85" s="4">
        <v>235</v>
      </c>
    </row>
    <row r="86" spans="8:11" x14ac:dyDescent="0.25">
      <c r="H86" s="39" t="s">
        <v>154</v>
      </c>
      <c r="I86" s="4">
        <v>626</v>
      </c>
      <c r="J86" s="4">
        <v>512</v>
      </c>
      <c r="K86" s="4">
        <v>255</v>
      </c>
    </row>
    <row r="87" spans="8:11" x14ac:dyDescent="0.25">
      <c r="H87" s="39" t="s">
        <v>155</v>
      </c>
      <c r="I87" s="4">
        <v>630</v>
      </c>
      <c r="J87" s="4">
        <v>513</v>
      </c>
      <c r="K87" s="4">
        <v>250</v>
      </c>
    </row>
    <row r="88" spans="8:11" x14ac:dyDescent="0.25">
      <c r="H88" s="39" t="s">
        <v>156</v>
      </c>
      <c r="I88" s="4">
        <v>578</v>
      </c>
      <c r="J88" s="4">
        <v>470</v>
      </c>
      <c r="K88" s="4">
        <v>229</v>
      </c>
    </row>
    <row r="89" spans="8:11" x14ac:dyDescent="0.25">
      <c r="H89" s="39" t="s">
        <v>157</v>
      </c>
      <c r="I89" s="4">
        <v>437</v>
      </c>
      <c r="J89" s="4">
        <v>359</v>
      </c>
      <c r="K89" s="4">
        <v>183</v>
      </c>
    </row>
    <row r="90" spans="8:11" x14ac:dyDescent="0.25">
      <c r="H90" s="39" t="s">
        <v>158</v>
      </c>
      <c r="I90" s="4">
        <v>630</v>
      </c>
      <c r="J90" s="4">
        <v>510</v>
      </c>
      <c r="K90" s="4">
        <v>242</v>
      </c>
    </row>
    <row r="91" spans="8:11" x14ac:dyDescent="0.25">
      <c r="H91" s="39" t="s">
        <v>159</v>
      </c>
      <c r="I91" s="4">
        <v>693</v>
      </c>
      <c r="J91" s="4">
        <v>551</v>
      </c>
      <c r="K91" s="4">
        <v>233</v>
      </c>
    </row>
    <row r="92" spans="8:11" x14ac:dyDescent="0.25">
      <c r="H92" s="39" t="s">
        <v>160</v>
      </c>
      <c r="I92" s="4">
        <v>623</v>
      </c>
      <c r="J92" s="4">
        <v>511</v>
      </c>
      <c r="K92" s="4">
        <v>260</v>
      </c>
    </row>
    <row r="93" spans="8:11" x14ac:dyDescent="0.25">
      <c r="H93" s="39" t="s">
        <v>161</v>
      </c>
      <c r="I93" s="4">
        <v>682</v>
      </c>
      <c r="J93" s="4">
        <v>554</v>
      </c>
      <c r="K93" s="4">
        <v>268</v>
      </c>
    </row>
    <row r="94" spans="8:11" x14ac:dyDescent="0.25">
      <c r="H94" s="39" t="s">
        <v>162</v>
      </c>
      <c r="I94" s="4">
        <v>642</v>
      </c>
      <c r="J94" s="4">
        <v>527</v>
      </c>
      <c r="K94" s="4">
        <v>268</v>
      </c>
    </row>
    <row r="95" spans="8:11" x14ac:dyDescent="0.25">
      <c r="H95" s="39" t="s">
        <v>163</v>
      </c>
      <c r="I95" s="4">
        <v>681</v>
      </c>
      <c r="J95" s="4">
        <v>551</v>
      </c>
      <c r="K95" s="4">
        <v>258</v>
      </c>
    </row>
    <row r="96" spans="8:11" x14ac:dyDescent="0.25">
      <c r="H96" s="39" t="s">
        <v>164</v>
      </c>
      <c r="I96" s="4">
        <v>477</v>
      </c>
      <c r="J96" s="4">
        <v>393</v>
      </c>
      <c r="K96" s="4">
        <v>202</v>
      </c>
    </row>
    <row r="97" spans="8:11" x14ac:dyDescent="0.25">
      <c r="H97" s="39" t="s">
        <v>165</v>
      </c>
      <c r="I97" s="4">
        <v>630</v>
      </c>
      <c r="J97" s="4">
        <v>510</v>
      </c>
      <c r="K97" s="4">
        <v>242</v>
      </c>
    </row>
    <row r="98" spans="8:11" x14ac:dyDescent="0.25">
      <c r="H98" s="39" t="s">
        <v>166</v>
      </c>
      <c r="I98" s="4">
        <v>581</v>
      </c>
      <c r="J98" s="4">
        <v>471</v>
      </c>
      <c r="K98" s="4">
        <v>223</v>
      </c>
    </row>
    <row r="99" spans="8:11" x14ac:dyDescent="0.25">
      <c r="H99" s="39" t="s">
        <v>167</v>
      </c>
      <c r="I99" s="4">
        <v>637</v>
      </c>
      <c r="J99" s="4">
        <v>510</v>
      </c>
      <c r="K99" s="4">
        <v>225</v>
      </c>
    </row>
    <row r="100" spans="8:11" x14ac:dyDescent="0.25">
      <c r="H100" s="39" t="s">
        <v>168</v>
      </c>
      <c r="I100" s="4">
        <v>586</v>
      </c>
      <c r="J100" s="4">
        <v>482</v>
      </c>
      <c r="K100" s="4">
        <v>249</v>
      </c>
    </row>
    <row r="101" spans="8:11" x14ac:dyDescent="0.25">
      <c r="H101" s="39" t="s">
        <v>169</v>
      </c>
      <c r="I101" s="4">
        <v>532</v>
      </c>
      <c r="J101" s="4">
        <v>435</v>
      </c>
      <c r="K101" s="4">
        <v>216</v>
      </c>
    </row>
    <row r="102" spans="8:11" x14ac:dyDescent="0.25">
      <c r="H102" s="39" t="s">
        <v>170</v>
      </c>
      <c r="I102" s="4">
        <v>463</v>
      </c>
      <c r="J102" s="4">
        <v>384</v>
      </c>
      <c r="K102" s="4">
        <v>206</v>
      </c>
    </row>
    <row r="103" spans="8:11" x14ac:dyDescent="0.25">
      <c r="H103" s="39" t="s">
        <v>171</v>
      </c>
      <c r="I103" s="4">
        <v>642</v>
      </c>
      <c r="J103" s="4">
        <v>527</v>
      </c>
      <c r="K103" s="4">
        <v>268</v>
      </c>
    </row>
    <row r="104" spans="8:11" x14ac:dyDescent="0.25">
      <c r="H104" s="39" t="s">
        <v>172</v>
      </c>
      <c r="I104" s="4">
        <v>529</v>
      </c>
      <c r="J104" s="4">
        <v>434</v>
      </c>
      <c r="K104" s="4">
        <v>221</v>
      </c>
    </row>
    <row r="105" spans="8:11" x14ac:dyDescent="0.25">
      <c r="H105" s="39" t="s">
        <v>173</v>
      </c>
      <c r="I105" s="4">
        <v>682</v>
      </c>
      <c r="J105" s="4">
        <v>554</v>
      </c>
      <c r="K105" s="4">
        <v>268</v>
      </c>
    </row>
    <row r="106" spans="8:11" x14ac:dyDescent="0.25">
      <c r="H106" s="39" t="s">
        <v>174</v>
      </c>
      <c r="I106" s="4">
        <v>626</v>
      </c>
      <c r="J106" s="4">
        <v>512</v>
      </c>
      <c r="K106" s="4">
        <v>255</v>
      </c>
    </row>
    <row r="107" spans="8:11" x14ac:dyDescent="0.25">
      <c r="H107" s="39" t="s">
        <v>175</v>
      </c>
      <c r="I107" s="4">
        <v>630</v>
      </c>
      <c r="J107" s="4">
        <v>513</v>
      </c>
      <c r="K107" s="4">
        <v>250</v>
      </c>
    </row>
    <row r="108" spans="8:11" x14ac:dyDescent="0.25">
      <c r="H108" s="39" t="s">
        <v>176</v>
      </c>
      <c r="I108" s="4">
        <v>728</v>
      </c>
      <c r="J108" s="4">
        <v>589</v>
      </c>
      <c r="K108" s="4">
        <v>276</v>
      </c>
    </row>
    <row r="109" spans="8:11" x14ac:dyDescent="0.25">
      <c r="H109" s="39" t="s">
        <v>177</v>
      </c>
      <c r="I109" s="4">
        <v>649</v>
      </c>
      <c r="J109" s="4">
        <v>525</v>
      </c>
      <c r="K109" s="4">
        <v>245</v>
      </c>
    </row>
    <row r="110" spans="8:11" x14ac:dyDescent="0.25">
      <c r="H110" s="39" t="s">
        <v>178</v>
      </c>
      <c r="I110" s="4">
        <v>630</v>
      </c>
      <c r="J110" s="4">
        <v>510</v>
      </c>
      <c r="K110" s="4">
        <v>242</v>
      </c>
    </row>
    <row r="111" spans="8:11" x14ac:dyDescent="0.25">
      <c r="H111" s="39" t="s">
        <v>179</v>
      </c>
      <c r="I111" s="4">
        <v>623</v>
      </c>
      <c r="J111" s="4">
        <v>511</v>
      </c>
      <c r="K111" s="4">
        <v>260</v>
      </c>
    </row>
    <row r="112" spans="8:11" x14ac:dyDescent="0.25">
      <c r="H112" s="39" t="s">
        <v>180</v>
      </c>
      <c r="I112" s="4">
        <v>630</v>
      </c>
      <c r="J112" s="4">
        <v>510</v>
      </c>
      <c r="K112" s="4">
        <v>242</v>
      </c>
    </row>
    <row r="113" spans="8:11" x14ac:dyDescent="0.25">
      <c r="H113" s="39" t="s">
        <v>181</v>
      </c>
      <c r="I113" s="4">
        <v>630</v>
      </c>
      <c r="J113" s="4">
        <v>510</v>
      </c>
      <c r="K113" s="4">
        <v>242</v>
      </c>
    </row>
    <row r="114" spans="8:11" x14ac:dyDescent="0.25">
      <c r="H114" s="39" t="s">
        <v>182</v>
      </c>
      <c r="I114" s="4">
        <v>686</v>
      </c>
      <c r="J114" s="4">
        <v>550</v>
      </c>
      <c r="K114" s="4">
        <v>245</v>
      </c>
    </row>
    <row r="115" spans="8:11" x14ac:dyDescent="0.25">
      <c r="H115" s="39" t="s">
        <v>183</v>
      </c>
      <c r="I115" s="4">
        <v>775</v>
      </c>
      <c r="J115" s="4">
        <v>641</v>
      </c>
      <c r="K115" s="4">
        <v>337</v>
      </c>
    </row>
    <row r="116" spans="8:11" x14ac:dyDescent="0.25">
      <c r="H116" s="39" t="s">
        <v>184</v>
      </c>
      <c r="I116" s="4">
        <v>435</v>
      </c>
      <c r="J116" s="4">
        <v>361</v>
      </c>
      <c r="K116" s="4">
        <v>196</v>
      </c>
    </row>
    <row r="117" spans="8:11" x14ac:dyDescent="0.25">
      <c r="H117" s="39" t="s">
        <v>185</v>
      </c>
      <c r="I117" s="4">
        <v>633</v>
      </c>
      <c r="J117" s="4">
        <v>511</v>
      </c>
      <c r="K117" s="4">
        <v>237</v>
      </c>
    </row>
    <row r="118" spans="8:11" x14ac:dyDescent="0.25">
      <c r="H118" s="39" t="s">
        <v>186</v>
      </c>
      <c r="I118" s="4">
        <v>492</v>
      </c>
      <c r="J118" s="4">
        <v>407</v>
      </c>
      <c r="K118" s="4">
        <v>216</v>
      </c>
    </row>
    <row r="119" spans="8:11" x14ac:dyDescent="0.25">
      <c r="H119" s="39" t="s">
        <v>187</v>
      </c>
      <c r="I119" s="4">
        <v>630</v>
      </c>
      <c r="J119" s="4">
        <v>510</v>
      </c>
      <c r="K119" s="4">
        <v>242</v>
      </c>
    </row>
    <row r="120" spans="8:11" x14ac:dyDescent="0.25">
      <c r="H120" s="39" t="s">
        <v>188</v>
      </c>
      <c r="I120" s="4">
        <v>492</v>
      </c>
      <c r="J120" s="4">
        <v>407</v>
      </c>
      <c r="K120" s="4">
        <v>216</v>
      </c>
    </row>
    <row r="121" spans="8:11" x14ac:dyDescent="0.25">
      <c r="H121" s="39" t="s">
        <v>189</v>
      </c>
      <c r="I121" s="4">
        <v>634</v>
      </c>
      <c r="J121" s="4">
        <v>510</v>
      </c>
      <c r="K121" s="4">
        <v>231</v>
      </c>
    </row>
    <row r="122" spans="8:11" x14ac:dyDescent="0.25">
      <c r="H122" s="39" t="s">
        <v>190</v>
      </c>
      <c r="I122" s="4">
        <v>793</v>
      </c>
      <c r="J122" s="4">
        <v>631</v>
      </c>
      <c r="K122" s="4">
        <v>267</v>
      </c>
    </row>
    <row r="123" spans="8:11" x14ac:dyDescent="0.25">
      <c r="H123" s="39" t="s">
        <v>191</v>
      </c>
      <c r="I123" s="4">
        <v>587</v>
      </c>
      <c r="J123" s="4">
        <v>479</v>
      </c>
      <c r="K123" s="4">
        <v>236</v>
      </c>
    </row>
    <row r="124" spans="8:11" x14ac:dyDescent="0.25">
      <c r="H124" s="39" t="s">
        <v>192</v>
      </c>
      <c r="I124" s="4">
        <v>782</v>
      </c>
      <c r="J124" s="4">
        <v>630</v>
      </c>
      <c r="K124" s="4">
        <v>289</v>
      </c>
    </row>
    <row r="125" spans="8:11" x14ac:dyDescent="0.25">
      <c r="H125" s="39" t="s">
        <v>193</v>
      </c>
      <c r="I125" s="4">
        <v>684</v>
      </c>
      <c r="J125" s="4">
        <v>550</v>
      </c>
      <c r="K125" s="4">
        <v>250</v>
      </c>
    </row>
    <row r="126" spans="8:11" x14ac:dyDescent="0.25">
      <c r="H126" s="39" t="s">
        <v>194</v>
      </c>
      <c r="I126" s="4">
        <v>529</v>
      </c>
      <c r="J126" s="4">
        <v>434</v>
      </c>
      <c r="K126" s="4">
        <v>221</v>
      </c>
    </row>
    <row r="127" spans="8:11" x14ac:dyDescent="0.25">
      <c r="H127" s="39" t="s">
        <v>195</v>
      </c>
      <c r="I127" s="4">
        <v>729</v>
      </c>
      <c r="J127" s="4">
        <v>592</v>
      </c>
      <c r="K127" s="4">
        <v>285</v>
      </c>
    </row>
    <row r="128" spans="8:11" x14ac:dyDescent="0.25">
      <c r="H128" s="39" t="s">
        <v>196</v>
      </c>
      <c r="I128" s="4">
        <v>793</v>
      </c>
      <c r="J128" s="4">
        <v>631</v>
      </c>
      <c r="K128" s="4">
        <v>267</v>
      </c>
    </row>
    <row r="129" spans="8:11" x14ac:dyDescent="0.25">
      <c r="H129" s="39" t="s">
        <v>197</v>
      </c>
      <c r="I129" s="4">
        <v>435</v>
      </c>
      <c r="J129" s="4">
        <v>361</v>
      </c>
      <c r="K129" s="4">
        <v>196</v>
      </c>
    </row>
    <row r="130" spans="8:11" x14ac:dyDescent="0.25">
      <c r="H130" s="39" t="s">
        <v>198</v>
      </c>
      <c r="I130" s="4">
        <v>684</v>
      </c>
      <c r="J130" s="4">
        <v>550</v>
      </c>
      <c r="K130" s="4">
        <v>250</v>
      </c>
    </row>
    <row r="131" spans="8:11" x14ac:dyDescent="0.25">
      <c r="H131" s="39" t="s">
        <v>199</v>
      </c>
      <c r="I131" s="4">
        <v>795</v>
      </c>
      <c r="J131" s="4">
        <v>631</v>
      </c>
      <c r="K131" s="4">
        <v>261</v>
      </c>
    </row>
    <row r="132" spans="8:11" x14ac:dyDescent="0.25">
      <c r="H132" s="39" t="s">
        <v>200</v>
      </c>
      <c r="I132" s="4">
        <v>582</v>
      </c>
      <c r="J132" s="4">
        <v>481</v>
      </c>
      <c r="K132" s="4">
        <v>254</v>
      </c>
    </row>
  </sheetData>
  <sheetProtection algorithmName="SHA-512" hashValue="vNzpYZ+hyLE+6LJJLWEqrOne/nV6GF1FFhNhyDU2c7K7BrTRWBxfIlBA/NDS6kBiJCvhmXb93IaGIQ2qZwY4mg==" saltValue="+wYL/WS756VP3cDR0SjD0w==" spinCount="100000" sheet="1" objects="1" scenarios="1"/>
  <pageMargins left="0.7" right="0.7" top="0.78740157499999996" bottom="0.78740157499999996" header="0.3" footer="0.3"/>
  <pageSetup paperSize="9"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P21"/>
  <sheetViews>
    <sheetView showGridLines="0" showRowColHeaders="0" workbookViewId="0">
      <selection activeCell="O29" sqref="O29"/>
    </sheetView>
  </sheetViews>
  <sheetFormatPr baseColWidth="10" defaultRowHeight="15" x14ac:dyDescent="0.25"/>
  <cols>
    <col min="14" max="14" width="20.5703125" customWidth="1"/>
    <col min="15" max="15" width="18.140625" customWidth="1"/>
    <col min="16" max="16" width="11.42578125" style="4"/>
  </cols>
  <sheetData>
    <row r="5" spans="3:16" x14ac:dyDescent="0.25">
      <c r="C5" t="s">
        <v>263</v>
      </c>
    </row>
    <row r="6" spans="3:16" x14ac:dyDescent="0.25">
      <c r="M6" t="s">
        <v>264</v>
      </c>
    </row>
    <row r="7" spans="3:16" ht="46.5" customHeight="1" x14ac:dyDescent="0.25">
      <c r="M7" s="50" t="s">
        <v>249</v>
      </c>
      <c r="N7" s="53" t="s">
        <v>517</v>
      </c>
      <c r="O7" s="53" t="s">
        <v>518</v>
      </c>
      <c r="P7" s="52" t="s">
        <v>519</v>
      </c>
    </row>
    <row r="8" spans="3:16" x14ac:dyDescent="0.25">
      <c r="M8" s="48">
        <v>10</v>
      </c>
      <c r="N8" s="18"/>
      <c r="O8" s="18"/>
    </row>
    <row r="9" spans="3:16" x14ac:dyDescent="0.25">
      <c r="M9" s="49">
        <v>15</v>
      </c>
      <c r="N9" s="18">
        <v>130</v>
      </c>
      <c r="O9" s="18">
        <v>130</v>
      </c>
      <c r="P9" s="4">
        <f>Tabelle11[[#This Row],[DIN EN558 Series 1 Gate Valve]]+Tabelle11[[#This Row],[DIN EN558 Series1  No-return flap]]</f>
        <v>260</v>
      </c>
    </row>
    <row r="10" spans="3:16" x14ac:dyDescent="0.25">
      <c r="M10" s="49">
        <v>20</v>
      </c>
      <c r="N10" s="18">
        <v>150</v>
      </c>
      <c r="O10" s="18">
        <v>150</v>
      </c>
      <c r="P10" s="4">
        <f>Tabelle11[[#This Row],[DIN EN558 Series 1 Gate Valve]]+Tabelle11[[#This Row],[DIN EN558 Series1  No-return flap]]</f>
        <v>300</v>
      </c>
    </row>
    <row r="11" spans="3:16" x14ac:dyDescent="0.25">
      <c r="M11" s="49">
        <v>25</v>
      </c>
      <c r="N11" s="18">
        <v>160</v>
      </c>
      <c r="O11" s="18">
        <v>160</v>
      </c>
      <c r="P11" s="4">
        <f>Tabelle11[[#This Row],[DIN EN558 Series 1 Gate Valve]]+Tabelle11[[#This Row],[DIN EN558 Series1  No-return flap]]</f>
        <v>320</v>
      </c>
    </row>
    <row r="12" spans="3:16" x14ac:dyDescent="0.25">
      <c r="M12" s="49">
        <v>32</v>
      </c>
      <c r="N12" s="18">
        <v>180</v>
      </c>
      <c r="O12" s="18">
        <v>180</v>
      </c>
      <c r="P12" s="4">
        <f>Tabelle11[[#This Row],[DIN EN558 Series 1 Gate Valve]]+Tabelle11[[#This Row],[DIN EN558 Series1  No-return flap]]</f>
        <v>360</v>
      </c>
    </row>
    <row r="13" spans="3:16" x14ac:dyDescent="0.25">
      <c r="M13" s="49">
        <v>40</v>
      </c>
      <c r="N13" s="18">
        <v>200</v>
      </c>
      <c r="O13" s="18">
        <v>200</v>
      </c>
      <c r="P13" s="4">
        <f>Tabelle11[[#This Row],[DIN EN558 Series 1 Gate Valve]]+Tabelle11[[#This Row],[DIN EN558 Series1  No-return flap]]</f>
        <v>400</v>
      </c>
    </row>
    <row r="14" spans="3:16" x14ac:dyDescent="0.25">
      <c r="M14" s="49">
        <v>50</v>
      </c>
      <c r="N14" s="18">
        <v>230</v>
      </c>
      <c r="O14" s="18">
        <v>230</v>
      </c>
      <c r="P14" s="4">
        <f>Tabelle11[[#This Row],[DIN EN558 Series 1 Gate Valve]]+Tabelle11[[#This Row],[DIN EN558 Series1  No-return flap]]</f>
        <v>460</v>
      </c>
    </row>
    <row r="15" spans="3:16" x14ac:dyDescent="0.25">
      <c r="M15" s="49">
        <v>65</v>
      </c>
      <c r="N15" s="18">
        <v>290</v>
      </c>
      <c r="O15" s="18">
        <v>290</v>
      </c>
      <c r="P15" s="4">
        <f>Tabelle11[[#This Row],[DIN EN558 Series 1 Gate Valve]]+Tabelle11[[#This Row],[DIN EN558 Series1  No-return flap]]</f>
        <v>580</v>
      </c>
    </row>
    <row r="16" spans="3:16" x14ac:dyDescent="0.25">
      <c r="M16" s="49">
        <v>80</v>
      </c>
      <c r="N16" s="18">
        <v>310</v>
      </c>
      <c r="O16" s="18">
        <v>310</v>
      </c>
      <c r="P16" s="4">
        <f>Tabelle11[[#This Row],[DIN EN558 Series 1 Gate Valve]]+Tabelle11[[#This Row],[DIN EN558 Series1  No-return flap]]</f>
        <v>620</v>
      </c>
    </row>
    <row r="17" spans="13:16" x14ac:dyDescent="0.25">
      <c r="M17" s="49">
        <v>100</v>
      </c>
      <c r="N17" s="18">
        <v>350</v>
      </c>
      <c r="O17" s="18">
        <v>350</v>
      </c>
      <c r="P17" s="4">
        <f>Tabelle11[[#This Row],[DIN EN558 Series 1 Gate Valve]]+Tabelle11[[#This Row],[DIN EN558 Series1  No-return flap]]</f>
        <v>700</v>
      </c>
    </row>
    <row r="18" spans="13:16" x14ac:dyDescent="0.25">
      <c r="M18" s="49">
        <v>125</v>
      </c>
      <c r="N18" s="18">
        <v>400</v>
      </c>
      <c r="O18" s="18">
        <v>400</v>
      </c>
      <c r="P18" s="4">
        <f>Tabelle11[[#This Row],[DIN EN558 Series 1 Gate Valve]]+Tabelle11[[#This Row],[DIN EN558 Series1  No-return flap]]</f>
        <v>800</v>
      </c>
    </row>
    <row r="19" spans="13:16" x14ac:dyDescent="0.25">
      <c r="M19" s="49">
        <v>150</v>
      </c>
      <c r="N19" s="18">
        <v>480</v>
      </c>
      <c r="O19" s="18">
        <v>480</v>
      </c>
      <c r="P19" s="4">
        <f>Tabelle11[[#This Row],[DIN EN558 Series 1 Gate Valve]]+Tabelle11[[#This Row],[DIN EN558 Series1  No-return flap]]</f>
        <v>960</v>
      </c>
    </row>
    <row r="20" spans="13:16" x14ac:dyDescent="0.25">
      <c r="M20" s="49">
        <v>200</v>
      </c>
      <c r="N20" s="18">
        <v>600</v>
      </c>
      <c r="O20" s="18">
        <v>600</v>
      </c>
      <c r="P20" s="4">
        <f>Tabelle11[[#This Row],[DIN EN558 Series 1 Gate Valve]]+Tabelle11[[#This Row],[DIN EN558 Series1  No-return flap]]</f>
        <v>1200</v>
      </c>
    </row>
    <row r="21" spans="13:16" x14ac:dyDescent="0.25">
      <c r="M21" s="51">
        <v>250</v>
      </c>
      <c r="N21" s="27">
        <v>730</v>
      </c>
      <c r="O21" s="27">
        <v>730</v>
      </c>
      <c r="P21" s="4">
        <f>Tabelle11[[#This Row],[DIN EN558 Series 1 Gate Valve]]+Tabelle11[[#This Row],[DIN EN558 Series1  No-return flap]]</f>
        <v>1460</v>
      </c>
    </row>
  </sheetData>
  <sheetProtection algorithmName="SHA-512" hashValue="6fG+eUE2ysy6L2FO4M6VajOLVD3x2L2RwHDyn1y3WTQwm/wWKw9t/azQZAyn+T94vHumfoRhuJx2KCM8aabRYw==" saltValue="uI4Y3114Y9ZrGrTU18J9CA==" spinCount="100000" sheet="1" objects="1" scenarios="1"/>
  <pageMargins left="0.7" right="0.7" top="0.78740157499999996" bottom="0.78740157499999996"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29"/>
  <sheetViews>
    <sheetView showGridLines="0" showRowColHeaders="0" workbookViewId="0">
      <selection activeCell="E22" sqref="E22"/>
    </sheetView>
  </sheetViews>
  <sheetFormatPr baseColWidth="10" defaultRowHeight="15" x14ac:dyDescent="0.25"/>
  <cols>
    <col min="3" max="3" width="22" customWidth="1"/>
    <col min="5" max="6" width="16.85546875" customWidth="1"/>
  </cols>
  <sheetData>
    <row r="4" spans="2:3" x14ac:dyDescent="0.25">
      <c r="B4" t="s">
        <v>266</v>
      </c>
      <c r="C4" t="s">
        <v>514</v>
      </c>
    </row>
    <row r="5" spans="2:3" x14ac:dyDescent="0.25">
      <c r="C5" s="4">
        <v>1</v>
      </c>
    </row>
    <row r="6" spans="2:3" x14ac:dyDescent="0.25">
      <c r="C6" s="4">
        <v>2</v>
      </c>
    </row>
    <row r="8" spans="2:3" x14ac:dyDescent="0.25">
      <c r="B8" t="s">
        <v>267</v>
      </c>
      <c r="C8" s="29" t="s">
        <v>515</v>
      </c>
    </row>
    <row r="9" spans="2:3" x14ac:dyDescent="0.25">
      <c r="C9" s="29">
        <v>800</v>
      </c>
    </row>
    <row r="10" spans="2:3" x14ac:dyDescent="0.25">
      <c r="C10" s="29">
        <v>1000</v>
      </c>
    </row>
    <row r="11" spans="2:3" x14ac:dyDescent="0.25">
      <c r="C11" s="29">
        <v>1200</v>
      </c>
    </row>
    <row r="12" spans="2:3" x14ac:dyDescent="0.25">
      <c r="C12" s="29">
        <v>1500</v>
      </c>
    </row>
    <row r="13" spans="2:3" x14ac:dyDescent="0.25">
      <c r="C13" s="29">
        <v>2000</v>
      </c>
    </row>
    <row r="14" spans="2:3" x14ac:dyDescent="0.25">
      <c r="C14" s="29">
        <v>2500</v>
      </c>
    </row>
    <row r="15" spans="2:3" x14ac:dyDescent="0.25">
      <c r="C15" s="29" t="s">
        <v>239</v>
      </c>
    </row>
    <row r="17" spans="2:6" x14ac:dyDescent="0.25">
      <c r="B17" t="s">
        <v>268</v>
      </c>
      <c r="C17" s="4" t="s">
        <v>516</v>
      </c>
      <c r="D17" s="4" t="s">
        <v>264</v>
      </c>
      <c r="E17" s="4"/>
      <c r="F17" s="4"/>
    </row>
    <row r="18" spans="2:6" x14ac:dyDescent="0.25">
      <c r="C18" s="4" t="s">
        <v>6</v>
      </c>
      <c r="D18" s="4">
        <v>35</v>
      </c>
      <c r="E18" s="4"/>
      <c r="F18" s="4"/>
    </row>
    <row r="19" spans="2:6" x14ac:dyDescent="0.25">
      <c r="C19" s="4" t="s">
        <v>8</v>
      </c>
      <c r="D19" s="4">
        <v>50</v>
      </c>
      <c r="E19" s="4"/>
      <c r="F19" s="4"/>
    </row>
    <row r="20" spans="2:6" x14ac:dyDescent="0.25">
      <c r="C20" s="4" t="s">
        <v>9</v>
      </c>
      <c r="D20" s="4">
        <v>65</v>
      </c>
      <c r="E20" s="4"/>
      <c r="F20" s="4"/>
    </row>
    <row r="21" spans="2:6" x14ac:dyDescent="0.25">
      <c r="C21" s="4" t="s">
        <v>10</v>
      </c>
      <c r="D21" s="4">
        <v>80</v>
      </c>
      <c r="E21" s="4"/>
      <c r="F21" s="4"/>
    </row>
    <row r="22" spans="2:6" x14ac:dyDescent="0.25">
      <c r="C22" s="4" t="s">
        <v>11</v>
      </c>
      <c r="D22" s="4">
        <v>100</v>
      </c>
      <c r="E22" s="4"/>
      <c r="F22" s="4"/>
    </row>
    <row r="23" spans="2:6" x14ac:dyDescent="0.25">
      <c r="C23" s="4" t="s">
        <v>13</v>
      </c>
      <c r="D23" s="4">
        <v>150</v>
      </c>
      <c r="E23" s="4"/>
      <c r="F23" s="4"/>
    </row>
    <row r="24" spans="2:6" x14ac:dyDescent="0.25">
      <c r="C24" s="28"/>
      <c r="D24" s="28"/>
      <c r="E24" s="28"/>
      <c r="F24" s="28"/>
    </row>
    <row r="27" spans="2:6" x14ac:dyDescent="0.25">
      <c r="C27" t="s">
        <v>27</v>
      </c>
    </row>
    <row r="28" spans="2:6" x14ac:dyDescent="0.25">
      <c r="C28" s="4" t="s">
        <v>261</v>
      </c>
    </row>
    <row r="29" spans="2:6" x14ac:dyDescent="0.25">
      <c r="C29" s="42" t="s">
        <v>239</v>
      </c>
    </row>
  </sheetData>
  <sheetProtection algorithmName="SHA-512" hashValue="n3GbJiroo+v3FGR8Exe2LJmXTV/bkwTKbe0TWSHQ0DFGWagp6xHhoWcPINoYnT4aIThwVoAgZUidLSnIkJnkPg==" saltValue="Q7W0dZJGqKJqiso+9/6kNg==" spinCount="100000" sheet="1" objects="1" scenarios="1"/>
  <pageMargins left="0.7" right="0.7" top="0.78740157499999996" bottom="0.78740157499999996" header="0.3" footer="0.3"/>
  <drawing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0</vt:lpstr>
      <vt:lpstr>1</vt:lpstr>
      <vt:lpstr>2</vt:lpstr>
      <vt:lpstr>3</vt:lpstr>
      <vt:lpstr>4</vt:lpstr>
      <vt:lpstr>5</vt:lpstr>
      <vt:lpstr>6</vt:lpstr>
      <vt:lpstr>7</vt:lpstr>
      <vt:lpstr>8</vt:lpstr>
      <vt:lpstr>9</vt:lpstr>
      <vt:lpstr>10</vt:lpstr>
      <vt:lpstr>'1'!Druckbereich</vt:lpstr>
      <vt:lpstr>'2'!Druckbereich</vt:lpstr>
      <vt:lpstr>'3'!Druckbereich</vt:lpstr>
      <vt:lpstr>'1'!Drucktitel</vt:lpstr>
      <vt:lpstr>'2'!Drucktitel</vt:lpstr>
      <vt:lpstr>'3'!Drucktitel</vt:lpstr>
      <vt:lpstr>rf</vt:lpstr>
      <vt:lpstr>Schachtmaße__mm</vt:lpstr>
    </vt:vector>
  </TitlesOfParts>
  <Company>KSB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Stibitz, Christian</dc:creator>
  <cp:lastModifiedBy>Stibitz, Christian</cp:lastModifiedBy>
  <cp:lastPrinted>2025-01-21T10:28:04Z</cp:lastPrinted>
  <dcterms:created xsi:type="dcterms:W3CDTF">2023-04-19T09:20:54Z</dcterms:created>
  <dcterms:modified xsi:type="dcterms:W3CDTF">2025-05-05T08:59:47Z</dcterms:modified>
</cp:coreProperties>
</file>