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6.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mc:AlternateContent xmlns:mc="http://schemas.openxmlformats.org/markup-compatibility/2006">
    <mc:Choice Requires="x15">
      <x15ac:absPath xmlns:x15ac="http://schemas.microsoft.com/office/spreadsheetml/2010/11/ac" url="https://ksbcentral-my.sharepoint.com/personal/christian_stibitz_ksb_com/Documents/Desktop/Applikation/70_Tools/Entwässerung/"/>
    </mc:Choice>
  </mc:AlternateContent>
  <xr:revisionPtr revIDLastSave="122" documentId="8_{06D8771A-EED5-449B-9AD3-F14F4122F9B4}" xr6:coauthVersionLast="47" xr6:coauthVersionMax="47" xr10:uidLastSave="{7D75C5C4-5342-4D6D-A100-FFAA395BDD09}"/>
  <bookViews>
    <workbookView xWindow="-120" yWindow="-120" windowWidth="29040" windowHeight="15720" xr2:uid="{00000000-000D-0000-FFFF-FFFF00000000}"/>
  </bookViews>
  <sheets>
    <sheet name="0" sheetId="24" r:id="rId1"/>
    <sheet name="1" sheetId="3" r:id="rId2"/>
    <sheet name="2" sheetId="14" r:id="rId3"/>
    <sheet name="3" sheetId="2" state="hidden" r:id="rId4"/>
    <sheet name="4" sheetId="15" state="hidden" r:id="rId5"/>
    <sheet name="5" sheetId="11" state="hidden" r:id="rId6"/>
    <sheet name="7" sheetId="21" state="hidden" r:id="rId7"/>
    <sheet name="6" sheetId="23" state="hidden" r:id="rId8"/>
    <sheet name="9" sheetId="4" state="hidden" r:id="rId9"/>
    <sheet name="10" sheetId="6" state="hidden" r:id="rId10"/>
  </sheets>
  <externalReferences>
    <externalReference r:id="rId11"/>
  </externalReferences>
  <definedNames>
    <definedName name="DN" localSheetId="2">#REF!</definedName>
    <definedName name="DN">#REF!</definedName>
    <definedName name="_xlnm.Print_Area" localSheetId="0">'0'!$D$1:$K$22</definedName>
    <definedName name="_xlnm.Print_Area" localSheetId="1">'1'!$E$1:$L$83</definedName>
    <definedName name="_xlnm.Print_Area" localSheetId="2">'2'!$E$1:$L$108</definedName>
    <definedName name="_xlnm.Print_Titles" localSheetId="1">'1'!$1:$2</definedName>
    <definedName name="_xlnm.Print_Titles" localSheetId="2">'2'!$1:$2</definedName>
    <definedName name="h" localSheetId="2">#REF!</definedName>
    <definedName name="h">#REF!</definedName>
    <definedName name="hor">#REF!</definedName>
    <definedName name="ko">#REF!</definedName>
    <definedName name="lo" localSheetId="2">#REF!</definedName>
    <definedName name="lo">#REF!</definedName>
    <definedName name="rf" localSheetId="2">Tabelle1[]</definedName>
    <definedName name="rf">Tabelle1[]</definedName>
    <definedName name="Rohr" localSheetId="2">#REF!</definedName>
    <definedName name="Rohr">#REF!</definedName>
    <definedName name="Rohre" localSheetId="2">#REF!</definedName>
    <definedName name="Rohre">#REF!</definedName>
    <definedName name="Schachtmaße__mm">#REF!</definedName>
    <definedName name="sdf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3" l="1"/>
  <c r="L32" i="3" s="1"/>
  <c r="J33" i="3"/>
  <c r="L33" i="3" s="1"/>
  <c r="J34" i="3"/>
  <c r="L34" i="3" s="1"/>
  <c r="J31" i="3"/>
  <c r="J29" i="3"/>
  <c r="J27" i="3"/>
  <c r="J18" i="3"/>
  <c r="L18" i="3" s="1"/>
  <c r="J20" i="3"/>
  <c r="L20" i="3" s="1"/>
  <c r="J24" i="3"/>
  <c r="J25" i="3"/>
  <c r="J26" i="3"/>
  <c r="L26" i="3" s="1"/>
  <c r="J23" i="3"/>
  <c r="J22" i="3"/>
  <c r="J19" i="3"/>
  <c r="J13" i="3"/>
  <c r="J14" i="3"/>
  <c r="J15" i="3"/>
  <c r="J16" i="3"/>
  <c r="J17" i="3"/>
  <c r="L17" i="3" s="1"/>
  <c r="J12" i="3"/>
  <c r="J21" i="3"/>
  <c r="J28" i="3"/>
  <c r="J30" i="3"/>
  <c r="O20" i="2" l="1"/>
  <c r="O21" i="2"/>
  <c r="O22" i="2"/>
  <c r="O23" i="2"/>
  <c r="O24" i="2"/>
  <c r="O25" i="2"/>
  <c r="O26" i="2"/>
  <c r="O27" i="2"/>
  <c r="O28" i="2"/>
  <c r="O29" i="2"/>
  <c r="O30" i="2"/>
  <c r="O31" i="2"/>
  <c r="O32" i="2"/>
  <c r="O33" i="2"/>
  <c r="O34" i="2"/>
  <c r="O35" i="2"/>
  <c r="O36" i="2"/>
  <c r="O37" i="2"/>
  <c r="O38" i="2"/>
  <c r="O39" i="2"/>
  <c r="O40" i="2"/>
  <c r="O41" i="2"/>
  <c r="O42" i="2"/>
  <c r="O43" i="2"/>
  <c r="O44" i="2"/>
  <c r="O45" i="2"/>
  <c r="O46" i="2"/>
  <c r="O19" i="2"/>
  <c r="I4" i="2" l="1"/>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3" i="2"/>
  <c r="H94" i="2" l="1"/>
  <c r="H95" i="2"/>
  <c r="H96" i="2"/>
  <c r="H97" i="2"/>
  <c r="H98" i="2"/>
  <c r="H99" i="2"/>
  <c r="H100" i="2"/>
  <c r="H101" i="2"/>
  <c r="H102" i="2"/>
  <c r="O102" i="2" s="1"/>
  <c r="N94" i="2"/>
  <c r="N101" i="2"/>
  <c r="H93" i="2"/>
  <c r="K93" i="2" l="1"/>
  <c r="O93" i="2"/>
  <c r="I93" i="2"/>
  <c r="L101" i="2"/>
  <c r="O101" i="2"/>
  <c r="I101" i="2"/>
  <c r="L100" i="2"/>
  <c r="O100" i="2"/>
  <c r="Q100" i="2" s="1"/>
  <c r="I100" i="2"/>
  <c r="K97" i="2"/>
  <c r="O97" i="2"/>
  <c r="Q97" i="2" s="1"/>
  <c r="I97" i="2"/>
  <c r="K95" i="2"/>
  <c r="O95" i="2"/>
  <c r="I95" i="2"/>
  <c r="K101" i="2"/>
  <c r="K99" i="2"/>
  <c r="O99" i="2"/>
  <c r="I99" i="2"/>
  <c r="K98" i="2"/>
  <c r="O98" i="2"/>
  <c r="I98" i="2"/>
  <c r="O96" i="2"/>
  <c r="I96" i="2"/>
  <c r="K94" i="2"/>
  <c r="O94" i="2"/>
  <c r="Q94" i="2" s="1"/>
  <c r="I94" i="2"/>
  <c r="L102" i="2"/>
  <c r="I102" i="2"/>
  <c r="N93" i="2"/>
  <c r="Q93" i="2"/>
  <c r="N102" i="2"/>
  <c r="K102" i="2"/>
  <c r="N100" i="2"/>
  <c r="K100" i="2"/>
  <c r="N99" i="2"/>
  <c r="L98" i="2"/>
  <c r="N98" i="2"/>
  <c r="Q98" i="2"/>
  <c r="N97" i="2"/>
  <c r="N96" i="2"/>
  <c r="L96" i="2"/>
  <c r="Q96" i="2"/>
  <c r="K96" i="2"/>
  <c r="N95" i="2"/>
  <c r="L95" i="2"/>
  <c r="Q95" i="2"/>
  <c r="L94" i="2"/>
  <c r="Q101" i="2"/>
  <c r="L99" i="2"/>
  <c r="Q99" i="2"/>
  <c r="L97" i="2"/>
  <c r="Q102" i="2"/>
  <c r="L93" i="2"/>
  <c r="P9" i="21" l="1"/>
  <c r="P10" i="21"/>
  <c r="P11" i="21"/>
  <c r="P12" i="21"/>
  <c r="P13" i="21"/>
  <c r="P14" i="21"/>
  <c r="P15" i="21"/>
  <c r="P16" i="21"/>
  <c r="P17" i="21"/>
  <c r="P18" i="21"/>
  <c r="P19" i="21"/>
  <c r="P20" i="21"/>
  <c r="P21" i="21"/>
  <c r="O178" i="2"/>
  <c r="O179" i="2"/>
  <c r="O180" i="2"/>
  <c r="O181" i="2"/>
  <c r="O182" i="2"/>
  <c r="O183" i="2"/>
  <c r="O184" i="2"/>
  <c r="O185" i="2"/>
  <c r="O186" i="2"/>
  <c r="O177" i="2"/>
  <c r="N150" i="2"/>
  <c r="N146" i="2"/>
  <c r="N147" i="2"/>
  <c r="N148" i="2"/>
  <c r="N149" i="2"/>
  <c r="N145" i="2"/>
  <c r="P68" i="2" l="1"/>
  <c r="P38" i="2"/>
  <c r="P87" i="2"/>
  <c r="P11" i="2"/>
  <c r="Q11" i="2" s="1"/>
  <c r="P25" i="2"/>
  <c r="P50" i="2"/>
  <c r="P53" i="2"/>
  <c r="P14" i="2"/>
  <c r="Q14" i="2" s="1"/>
  <c r="P28" i="2"/>
  <c r="P41" i="2"/>
  <c r="P71" i="2"/>
  <c r="P90" i="2"/>
  <c r="P72" i="2"/>
  <c r="P91" i="2"/>
  <c r="P42" i="2"/>
  <c r="P29" i="2"/>
  <c r="P85" i="2"/>
  <c r="P9" i="2"/>
  <c r="Q9" i="2" s="1"/>
  <c r="P23" i="2"/>
  <c r="P66" i="2"/>
  <c r="P36" i="2"/>
  <c r="P48" i="2"/>
  <c r="P64" i="2"/>
  <c r="P34" i="2"/>
  <c r="P83" i="2"/>
  <c r="P21" i="2"/>
  <c r="P7" i="2"/>
  <c r="Q7" i="2" s="1"/>
  <c r="P20" i="2"/>
  <c r="P32" i="2"/>
  <c r="P62" i="2"/>
  <c r="P81" i="2"/>
  <c r="P5" i="2"/>
  <c r="Q5" i="2" s="1"/>
  <c r="P73" i="2"/>
  <c r="P43" i="2"/>
  <c r="P92" i="2"/>
  <c r="P30" i="2"/>
  <c r="P52" i="2"/>
  <c r="P27" i="2"/>
  <c r="P13" i="2"/>
  <c r="Q13" i="2" s="1"/>
  <c r="P70" i="2"/>
  <c r="P40" i="2"/>
  <c r="P89" i="2"/>
  <c r="P69" i="2"/>
  <c r="P26" i="2"/>
  <c r="P12" i="2"/>
  <c r="Q12" i="2" s="1"/>
  <c r="P39" i="2"/>
  <c r="P88" i="2"/>
  <c r="P51" i="2"/>
  <c r="P24" i="2"/>
  <c r="P86" i="2"/>
  <c r="P49" i="2"/>
  <c r="P10" i="2"/>
  <c r="Q10" i="2" s="1"/>
  <c r="P67" i="2"/>
  <c r="P37" i="2"/>
  <c r="P8" i="2"/>
  <c r="Q8" i="2" s="1"/>
  <c r="P65" i="2"/>
  <c r="P47" i="2"/>
  <c r="P35" i="2"/>
  <c r="P22" i="2"/>
  <c r="P84" i="2"/>
  <c r="P63" i="2"/>
  <c r="P33" i="2"/>
  <c r="P82" i="2"/>
  <c r="P6" i="2"/>
  <c r="Q6" i="2" s="1"/>
  <c r="P31" i="2"/>
  <c r="P61" i="2"/>
  <c r="P80" i="2"/>
  <c r="P19" i="2"/>
  <c r="P4" i="2"/>
  <c r="Q4" i="2" s="1"/>
  <c r="Q19" i="2" l="1"/>
  <c r="Q20" i="2"/>
  <c r="Q21" i="2"/>
  <c r="Q22" i="2"/>
  <c r="Q23" i="2"/>
  <c r="Q24" i="2"/>
  <c r="Q25" i="2"/>
  <c r="Q26" i="2"/>
  <c r="Q27" i="2"/>
  <c r="Q28" i="2"/>
  <c r="Q29" i="2"/>
  <c r="Q30" i="2"/>
  <c r="Q31" i="2"/>
  <c r="Q32" i="2"/>
  <c r="Q33" i="2"/>
  <c r="Q34" i="2"/>
  <c r="Q35" i="2"/>
  <c r="Q36" i="2"/>
  <c r="Q37" i="2"/>
  <c r="Q38" i="2"/>
  <c r="Q39" i="2"/>
  <c r="Q40" i="2"/>
  <c r="Q41" i="2"/>
  <c r="Q42" i="2"/>
  <c r="Q43" i="2"/>
  <c r="U8" i="15" l="1"/>
  <c r="U7" i="15"/>
  <c r="L94" i="14"/>
  <c r="L98" i="14"/>
  <c r="J140" i="14"/>
  <c r="K140" i="14"/>
  <c r="J141" i="14"/>
  <c r="K141" i="14"/>
  <c r="J142" i="14"/>
  <c r="K142" i="14"/>
  <c r="J143" i="14"/>
  <c r="K143" i="14"/>
  <c r="J144" i="14"/>
  <c r="K144" i="14"/>
  <c r="J145" i="14"/>
  <c r="K145" i="14"/>
  <c r="J146" i="14"/>
  <c r="K146" i="14"/>
  <c r="J147" i="14"/>
  <c r="K147" i="14"/>
  <c r="J148" i="14"/>
  <c r="K148" i="14"/>
  <c r="J149" i="14"/>
  <c r="K149" i="14"/>
  <c r="J150" i="14"/>
  <c r="K150" i="14"/>
  <c r="J151" i="14"/>
  <c r="K151" i="14"/>
  <c r="K139" i="14"/>
  <c r="N139" i="14" s="1"/>
  <c r="J139" i="14"/>
  <c r="M139" i="14" s="1"/>
  <c r="N3"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K3" i="2"/>
  <c r="K118" i="14"/>
  <c r="K119" i="14"/>
  <c r="K120" i="14"/>
  <c r="K121" i="14"/>
  <c r="K122" i="14"/>
  <c r="K123" i="14"/>
  <c r="K124" i="14"/>
  <c r="K125" i="14"/>
  <c r="K126" i="14"/>
  <c r="K127" i="14"/>
  <c r="K128" i="14"/>
  <c r="K129" i="14"/>
  <c r="K130" i="14"/>
  <c r="K131" i="14"/>
  <c r="K132" i="14"/>
  <c r="K133" i="14"/>
  <c r="K134" i="14"/>
  <c r="K117" i="14"/>
  <c r="I156" i="14"/>
  <c r="Q48" i="15"/>
  <c r="Q47" i="15"/>
  <c r="Q46" i="15"/>
  <c r="Q45" i="15"/>
  <c r="Q44"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Q13" i="15"/>
  <c r="Q12" i="15"/>
  <c r="Q11" i="15"/>
  <c r="Q10" i="15"/>
  <c r="Q9" i="15"/>
  <c r="U10" i="15" l="1" a="1"/>
  <c r="U10" i="15" s="1"/>
  <c r="O14" i="15" l="1"/>
  <c r="P14" i="15" s="1"/>
  <c r="R14" i="15" s="1"/>
  <c r="O9" i="15"/>
  <c r="P9" i="15" s="1"/>
  <c r="R9" i="15" s="1"/>
  <c r="O27" i="15"/>
  <c r="P27" i="15" s="1"/>
  <c r="R27" i="15" s="1"/>
  <c r="O35" i="15"/>
  <c r="P35" i="15" s="1"/>
  <c r="R35" i="15" s="1"/>
  <c r="O43" i="15"/>
  <c r="P43" i="15" s="1"/>
  <c r="R43" i="15" s="1"/>
  <c r="O13" i="15"/>
  <c r="P13" i="15" s="1"/>
  <c r="R13" i="15" s="1"/>
  <c r="O20" i="15"/>
  <c r="P20" i="15" s="1"/>
  <c r="R20" i="15" s="1"/>
  <c r="O31" i="15"/>
  <c r="P31" i="15" s="1"/>
  <c r="R31" i="15" s="1"/>
  <c r="O24" i="15"/>
  <c r="P24" i="15" s="1"/>
  <c r="R24" i="15" s="1"/>
  <c r="O22" i="15"/>
  <c r="P22" i="15" s="1"/>
  <c r="R22" i="15" s="1"/>
  <c r="O21" i="15"/>
  <c r="P21" i="15" s="1"/>
  <c r="R21" i="15" s="1"/>
  <c r="O29" i="15"/>
  <c r="P29" i="15" s="1"/>
  <c r="R29" i="15" s="1"/>
  <c r="O42" i="15"/>
  <c r="P42" i="15" s="1"/>
  <c r="R42" i="15" s="1"/>
  <c r="O28" i="15"/>
  <c r="P28" i="15" s="1"/>
  <c r="R28" i="15" s="1"/>
  <c r="O18" i="15"/>
  <c r="P18" i="15" s="1"/>
  <c r="R18" i="15" s="1"/>
  <c r="O16" i="15"/>
  <c r="P16" i="15" s="1"/>
  <c r="R16" i="15" s="1"/>
  <c r="O32" i="15"/>
  <c r="P32" i="15" s="1"/>
  <c r="R32" i="15" s="1"/>
  <c r="O26" i="15"/>
  <c r="P26" i="15" s="1"/>
  <c r="R26" i="15" s="1"/>
  <c r="O34" i="15"/>
  <c r="P34" i="15" s="1"/>
  <c r="R34" i="15" s="1"/>
  <c r="O37" i="15"/>
  <c r="P37" i="15" s="1"/>
  <c r="R37" i="15" s="1"/>
  <c r="O15" i="15"/>
  <c r="P15" i="15" s="1"/>
  <c r="R15" i="15" s="1"/>
  <c r="O36" i="15"/>
  <c r="P36" i="15" s="1"/>
  <c r="R36" i="15" s="1"/>
  <c r="O39" i="15"/>
  <c r="P39" i="15" s="1"/>
  <c r="R39" i="15" s="1"/>
  <c r="O47" i="15"/>
  <c r="P47" i="15" s="1"/>
  <c r="R47" i="15" s="1"/>
  <c r="O17" i="15"/>
  <c r="P17" i="15" s="1"/>
  <c r="R17" i="15" s="1"/>
  <c r="O38" i="15"/>
  <c r="P38" i="15" s="1"/>
  <c r="R38" i="15" s="1"/>
  <c r="O46" i="15"/>
  <c r="P46" i="15" s="1"/>
  <c r="R46" i="15" s="1"/>
  <c r="O41" i="15"/>
  <c r="P41" i="15" s="1"/>
  <c r="R41" i="15" s="1"/>
  <c r="O12" i="15"/>
  <c r="P12" i="15" s="1"/>
  <c r="R12" i="15" s="1"/>
  <c r="O40" i="15"/>
  <c r="P40" i="15" s="1"/>
  <c r="R40" i="15" s="1"/>
  <c r="O10" i="15"/>
  <c r="P10" i="15" s="1"/>
  <c r="R10" i="15" s="1"/>
  <c r="O11" i="15"/>
  <c r="P11" i="15" s="1"/>
  <c r="R11" i="15" s="1"/>
  <c r="O30" i="15"/>
  <c r="P30" i="15" s="1"/>
  <c r="R30" i="15" s="1"/>
  <c r="O25" i="15"/>
  <c r="P25" i="15" s="1"/>
  <c r="R25" i="15" s="1"/>
  <c r="O33" i="15"/>
  <c r="P33" i="15" s="1"/>
  <c r="R33" i="15" s="1"/>
  <c r="O45" i="15"/>
  <c r="P45" i="15" s="1"/>
  <c r="R45" i="15" s="1"/>
  <c r="O19" i="15"/>
  <c r="P19" i="15" s="1"/>
  <c r="R19" i="15" s="1"/>
  <c r="O44" i="15"/>
  <c r="P44" i="15" s="1"/>
  <c r="R44" i="15" s="1"/>
  <c r="Y10" i="15"/>
  <c r="O23" i="15"/>
  <c r="P23" i="15" s="1"/>
  <c r="R23" i="15" s="1"/>
  <c r="O48" i="15"/>
  <c r="P48" i="15" s="1"/>
  <c r="R48" i="15" s="1"/>
  <c r="T13" i="15" l="1"/>
  <c r="T15" i="15"/>
  <c r="T16" i="15"/>
  <c r="T14" i="15"/>
  <c r="L106" i="14" l="1"/>
  <c r="E106" i="14"/>
  <c r="K106" i="14"/>
  <c r="J106" i="14"/>
  <c r="I106" i="14"/>
  <c r="G106" i="14"/>
  <c r="H106" i="14"/>
  <c r="F106" i="14"/>
  <c r="E108" i="14"/>
  <c r="F108" i="14"/>
  <c r="I108" i="14"/>
  <c r="G108" i="14"/>
  <c r="H108" i="14"/>
  <c r="F107" i="14"/>
  <c r="E107" i="14"/>
  <c r="L107" i="14"/>
  <c r="K107" i="14"/>
  <c r="I107" i="14"/>
  <c r="G107" i="14"/>
  <c r="H107" i="14"/>
  <c r="J107" i="14"/>
  <c r="J105" i="14"/>
  <c r="K105" i="14"/>
  <c r="G105" i="14"/>
  <c r="L105" i="14"/>
  <c r="E105" i="14"/>
  <c r="H105" i="14"/>
  <c r="F105" i="14"/>
  <c r="I105" i="14"/>
  <c r="D121" i="14" l="1"/>
  <c r="K45" i="2"/>
  <c r="H11" i="14" l="1"/>
  <c r="C122" i="14"/>
  <c r="N143" i="14"/>
  <c r="N144" i="14" s="1"/>
  <c r="N145" i="14" s="1"/>
  <c r="M143" i="14"/>
  <c r="M144" i="14" s="1"/>
  <c r="M145" i="14" s="1"/>
  <c r="N142" i="14"/>
  <c r="M142" i="14"/>
  <c r="N141" i="14"/>
  <c r="M141" i="14"/>
  <c r="I141" i="14"/>
  <c r="I142" i="14" s="1"/>
  <c r="I143" i="14" s="1"/>
  <c r="I144" i="14" s="1"/>
  <c r="I145" i="14" s="1"/>
  <c r="I146" i="14" s="1"/>
  <c r="I147" i="14" s="1"/>
  <c r="I148" i="14" s="1"/>
  <c r="I149" i="14" s="1"/>
  <c r="I150" i="14" s="1"/>
  <c r="I151" i="14" s="1"/>
  <c r="N140" i="14"/>
  <c r="M140" i="14"/>
  <c r="M119" i="14"/>
  <c r="M120" i="14" s="1"/>
  <c r="M121" i="14" s="1"/>
  <c r="M122" i="14" s="1"/>
  <c r="M123" i="14" s="1"/>
  <c r="M124" i="14" s="1"/>
  <c r="M125" i="14" s="1"/>
  <c r="M126" i="14" s="1"/>
  <c r="M127" i="14" s="1"/>
  <c r="M128" i="14" s="1"/>
  <c r="M129" i="14" s="1"/>
  <c r="M130" i="14" s="1"/>
  <c r="M131" i="14" s="1"/>
  <c r="M132" i="14" s="1"/>
  <c r="M133" i="14" s="1"/>
  <c r="M134" i="14" s="1"/>
  <c r="K48" i="14"/>
  <c r="K47" i="14"/>
  <c r="K46" i="14"/>
  <c r="K45" i="14"/>
  <c r="K44" i="14"/>
  <c r="K43" i="14"/>
  <c r="K42" i="14"/>
  <c r="K41" i="14"/>
  <c r="K40" i="14"/>
  <c r="K39" i="14"/>
  <c r="K38" i="14"/>
  <c r="K37" i="14"/>
  <c r="K36" i="14"/>
  <c r="J1" i="14"/>
  <c r="C123" i="14" l="1"/>
  <c r="D122" i="14"/>
  <c r="N146" i="14"/>
  <c r="N147" i="14" s="1"/>
  <c r="N148" i="14" s="1"/>
  <c r="N149" i="14" s="1"/>
  <c r="N150" i="14" s="1"/>
  <c r="N151" i="14" s="1"/>
  <c r="M146" i="14"/>
  <c r="M147" i="14" s="1"/>
  <c r="M148" i="14" s="1"/>
  <c r="M149" i="14" s="1"/>
  <c r="M150" i="14" s="1"/>
  <c r="M151" i="14" s="1"/>
  <c r="C124" i="14"/>
  <c r="K50" i="14"/>
  <c r="D124" i="14" l="1"/>
  <c r="D123" i="14"/>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C176" i="14" l="1"/>
  <c r="D175" i="14"/>
  <c r="C177" i="14" l="1"/>
  <c r="D176" i="14"/>
  <c r="C178" i="14" l="1"/>
  <c r="D177" i="14"/>
  <c r="C179" i="14" l="1"/>
  <c r="D178" i="14"/>
  <c r="D179" i="14" l="1"/>
  <c r="C180" i="14"/>
  <c r="C181" i="14" l="1"/>
  <c r="D180" i="14"/>
  <c r="C182" i="14" l="1"/>
  <c r="D181" i="14"/>
  <c r="C183" i="14" l="1"/>
  <c r="D182" i="14"/>
  <c r="D183" i="14" l="1"/>
  <c r="C184" i="14"/>
  <c r="C185" i="14" l="1"/>
  <c r="D184" i="14"/>
  <c r="C186" i="14" l="1"/>
  <c r="D185" i="14"/>
  <c r="C187" i="14" l="1"/>
  <c r="D186" i="14"/>
  <c r="D187" i="14" l="1"/>
  <c r="C188" i="14"/>
  <c r="C189" i="14" l="1"/>
  <c r="D188" i="14"/>
  <c r="C190" i="14" l="1"/>
  <c r="D189" i="14"/>
  <c r="C191" i="14" l="1"/>
  <c r="D190" i="14"/>
  <c r="D191" i="14" l="1"/>
  <c r="C192" i="14"/>
  <c r="C193" i="14" l="1"/>
  <c r="D192" i="14"/>
  <c r="C194" i="14" l="1"/>
  <c r="D193" i="14"/>
  <c r="C195" i="14" l="1"/>
  <c r="D194" i="14"/>
  <c r="D195" i="14" l="1"/>
  <c r="C196" i="14"/>
  <c r="C197" i="14" l="1"/>
  <c r="D196" i="14"/>
  <c r="C198" i="14" l="1"/>
  <c r="D197" i="14"/>
  <c r="C199" i="14" l="1"/>
  <c r="D198" i="14"/>
  <c r="D199" i="14" l="1"/>
  <c r="C200" i="14"/>
  <c r="C201" i="14" l="1"/>
  <c r="D200" i="14"/>
  <c r="C202" i="14" l="1"/>
  <c r="D201" i="14"/>
  <c r="C203" i="14" l="1"/>
  <c r="D202" i="14"/>
  <c r="D203" i="14" l="1"/>
  <c r="C204" i="14"/>
  <c r="C205" i="14" l="1"/>
  <c r="D204" i="14"/>
  <c r="C206" i="14" l="1"/>
  <c r="D205" i="14"/>
  <c r="C207" i="14" l="1"/>
  <c r="D206" i="14"/>
  <c r="D207" i="14" l="1"/>
  <c r="C208" i="14"/>
  <c r="C209" i="14" l="1"/>
  <c r="D208" i="14"/>
  <c r="C210" i="14" l="1"/>
  <c r="D209" i="14"/>
  <c r="C211" i="14" l="1"/>
  <c r="D210" i="14"/>
  <c r="D211" i="14" l="1"/>
  <c r="C212" i="14"/>
  <c r="C213" i="14" l="1"/>
  <c r="D212" i="14"/>
  <c r="C214" i="14" l="1"/>
  <c r="D213" i="14"/>
  <c r="C215" i="14" l="1"/>
  <c r="D214" i="14"/>
  <c r="D215" i="14" l="1"/>
  <c r="C216" i="14"/>
  <c r="C217" i="14" l="1"/>
  <c r="D216" i="14"/>
  <c r="C218" i="14" l="1"/>
  <c r="D217" i="14"/>
  <c r="C219" i="14" l="1"/>
  <c r="D218" i="14"/>
  <c r="D219" i="14" l="1"/>
  <c r="C220" i="14"/>
  <c r="C221" i="14" l="1"/>
  <c r="D220" i="14"/>
  <c r="C222" i="14" l="1"/>
  <c r="D221" i="14"/>
  <c r="C223" i="14" l="1"/>
  <c r="D222" i="14"/>
  <c r="D223" i="14" l="1"/>
  <c r="C224" i="14"/>
  <c r="C225" i="14" l="1"/>
  <c r="D224" i="14"/>
  <c r="C226" i="14" l="1"/>
  <c r="D225" i="14"/>
  <c r="C227" i="14" l="1"/>
  <c r="D226" i="14"/>
  <c r="D227" i="14" l="1"/>
  <c r="C228" i="14"/>
  <c r="C229" i="14" l="1"/>
  <c r="D228" i="14"/>
  <c r="C230" i="14" l="1"/>
  <c r="D229" i="14"/>
  <c r="C231" i="14" l="1"/>
  <c r="D230" i="14"/>
  <c r="D231" i="14" l="1"/>
  <c r="C232" i="14"/>
  <c r="C233" i="14" l="1"/>
  <c r="D232" i="14"/>
  <c r="C234" i="14" l="1"/>
  <c r="D233" i="14"/>
  <c r="C235" i="14" l="1"/>
  <c r="D234" i="14"/>
  <c r="D235" i="14" l="1"/>
  <c r="C236" i="14"/>
  <c r="C237" i="14" l="1"/>
  <c r="D236" i="14"/>
  <c r="C238" i="14" l="1"/>
  <c r="D237" i="14"/>
  <c r="C239" i="14" l="1"/>
  <c r="D238" i="14"/>
  <c r="D239" i="14" l="1"/>
  <c r="C240" i="14"/>
  <c r="C241" i="14" l="1"/>
  <c r="D240" i="14"/>
  <c r="C242" i="14" l="1"/>
  <c r="D241" i="14"/>
  <c r="C243" i="14" l="1"/>
  <c r="D242" i="14"/>
  <c r="D243" i="14" l="1"/>
  <c r="C244" i="14"/>
  <c r="C245" i="14" l="1"/>
  <c r="D244" i="14"/>
  <c r="C246" i="14" l="1"/>
  <c r="D245" i="14"/>
  <c r="C247" i="14" l="1"/>
  <c r="D246" i="14"/>
  <c r="D247" i="14" l="1"/>
  <c r="C248" i="14"/>
  <c r="C249" i="14" l="1"/>
  <c r="D248" i="14"/>
  <c r="C250" i="14" l="1"/>
  <c r="D249" i="14"/>
  <c r="C251" i="14" l="1"/>
  <c r="D250" i="14"/>
  <c r="D251" i="14" l="1"/>
  <c r="C252" i="14"/>
  <c r="C253" i="14" l="1"/>
  <c r="D252" i="14"/>
  <c r="C254" i="14" l="1"/>
  <c r="D253" i="14"/>
  <c r="C255" i="14" l="1"/>
  <c r="D254" i="14"/>
  <c r="D255" i="14" l="1"/>
  <c r="C256" i="14"/>
  <c r="C257" i="14" l="1"/>
  <c r="D256" i="14"/>
  <c r="C258" i="14" l="1"/>
  <c r="D257" i="14"/>
  <c r="C259" i="14" l="1"/>
  <c r="D258" i="14"/>
  <c r="D259" i="14" l="1"/>
  <c r="C260" i="14"/>
  <c r="C261" i="14" l="1"/>
  <c r="D260" i="14"/>
  <c r="C262" i="14" l="1"/>
  <c r="D261" i="14"/>
  <c r="C263" i="14" l="1"/>
  <c r="D262" i="14"/>
  <c r="D263" i="14" l="1"/>
  <c r="C264" i="14"/>
  <c r="C265" i="14" l="1"/>
  <c r="D264" i="14"/>
  <c r="C266" i="14" l="1"/>
  <c r="D265" i="14"/>
  <c r="C267" i="14" l="1"/>
  <c r="D266" i="14"/>
  <c r="D267" i="14" l="1"/>
  <c r="C268" i="14"/>
  <c r="C269" i="14" l="1"/>
  <c r="D268" i="14"/>
  <c r="C270" i="14" l="1"/>
  <c r="D269" i="14"/>
  <c r="C271" i="14" l="1"/>
  <c r="D270" i="14"/>
  <c r="D271" i="14" l="1"/>
  <c r="C272" i="14"/>
  <c r="C273" i="14" l="1"/>
  <c r="D272" i="14"/>
  <c r="C274" i="14" l="1"/>
  <c r="D273" i="14"/>
  <c r="C275" i="14" l="1"/>
  <c r="D274" i="14"/>
  <c r="D275" i="14" l="1"/>
  <c r="C276" i="14"/>
  <c r="C277" i="14" l="1"/>
  <c r="D276" i="14"/>
  <c r="C278" i="14" l="1"/>
  <c r="D277" i="14"/>
  <c r="C279" i="14" l="1"/>
  <c r="D278" i="14"/>
  <c r="D279" i="14" l="1"/>
  <c r="C280" i="14"/>
  <c r="C281" i="14" l="1"/>
  <c r="D280" i="14"/>
  <c r="C282" i="14" l="1"/>
  <c r="D281" i="14"/>
  <c r="C283" i="14" l="1"/>
  <c r="D282" i="14"/>
  <c r="D283" i="14" l="1"/>
  <c r="C284" i="14"/>
  <c r="C285" i="14" l="1"/>
  <c r="D284" i="14"/>
  <c r="C286" i="14" l="1"/>
  <c r="D285" i="14"/>
  <c r="C287" i="14" l="1"/>
  <c r="D286" i="14"/>
  <c r="D287" i="14" l="1"/>
  <c r="C288" i="14"/>
  <c r="C289" i="14" l="1"/>
  <c r="D288" i="14"/>
  <c r="C290" i="14" l="1"/>
  <c r="D289" i="14"/>
  <c r="C291" i="14" l="1"/>
  <c r="D290" i="14"/>
  <c r="D291" i="14" l="1"/>
  <c r="C292" i="14"/>
  <c r="C293" i="14" l="1"/>
  <c r="D292" i="14"/>
  <c r="C294" i="14" l="1"/>
  <c r="D293" i="14"/>
  <c r="C295" i="14" l="1"/>
  <c r="D294" i="14"/>
  <c r="D295" i="14" l="1"/>
  <c r="C296" i="14"/>
  <c r="C297" i="14" l="1"/>
  <c r="D296" i="14"/>
  <c r="C298" i="14" l="1"/>
  <c r="D297" i="14"/>
  <c r="C299" i="14" l="1"/>
  <c r="D298" i="14"/>
  <c r="D299" i="14" l="1"/>
  <c r="C300" i="14"/>
  <c r="C301" i="14" l="1"/>
  <c r="D300" i="14"/>
  <c r="C302" i="14" l="1"/>
  <c r="D301" i="14"/>
  <c r="C303" i="14" l="1"/>
  <c r="D302" i="14"/>
  <c r="D303" i="14" l="1"/>
  <c r="C304" i="14"/>
  <c r="C305" i="14" l="1"/>
  <c r="D304" i="14"/>
  <c r="C306" i="14" l="1"/>
  <c r="D305" i="14"/>
  <c r="C307" i="14" l="1"/>
  <c r="D306" i="14"/>
  <c r="D307" i="14" l="1"/>
  <c r="R293" i="11" l="1"/>
  <c r="R292" i="11"/>
  <c r="R291" i="11"/>
  <c r="R290" i="11"/>
  <c r="R289" i="11"/>
  <c r="R288" i="11"/>
  <c r="R287" i="11"/>
  <c r="R286" i="11"/>
  <c r="R285" i="11"/>
  <c r="R284" i="11"/>
  <c r="R271" i="11"/>
  <c r="R270" i="11"/>
  <c r="R269" i="11"/>
  <c r="R268" i="11"/>
  <c r="R267" i="11"/>
  <c r="R266" i="11"/>
  <c r="R265" i="11"/>
  <c r="R264" i="11"/>
  <c r="R263" i="11"/>
  <c r="R262" i="11"/>
  <c r="R251" i="11"/>
  <c r="R250" i="11"/>
  <c r="R249" i="11"/>
  <c r="R248" i="11"/>
  <c r="R247" i="11"/>
  <c r="R246" i="11"/>
  <c r="R245" i="11"/>
  <c r="R244" i="11"/>
  <c r="R243" i="11"/>
  <c r="R242" i="11"/>
  <c r="R241" i="11"/>
  <c r="R226" i="11"/>
  <c r="R225" i="11"/>
  <c r="R224" i="11"/>
  <c r="R223" i="11"/>
  <c r="R222" i="11"/>
  <c r="R221" i="11"/>
  <c r="R220" i="11"/>
  <c r="R219" i="11"/>
  <c r="R218" i="11"/>
  <c r="R205" i="11"/>
  <c r="R204" i="11"/>
  <c r="R203" i="11"/>
  <c r="R202" i="11"/>
  <c r="R201" i="11"/>
  <c r="R200" i="11"/>
  <c r="R199" i="11"/>
  <c r="R198" i="11"/>
  <c r="R197" i="11"/>
  <c r="R196" i="11"/>
  <c r="R195" i="11"/>
  <c r="R183" i="11"/>
  <c r="R182" i="11"/>
  <c r="R181" i="11"/>
  <c r="R180" i="11"/>
  <c r="R179" i="11"/>
  <c r="R178" i="11"/>
  <c r="R177" i="11"/>
  <c r="R176" i="11"/>
  <c r="R175" i="11"/>
  <c r="R174" i="11"/>
  <c r="R173" i="11"/>
  <c r="R162" i="11"/>
  <c r="R161" i="11"/>
  <c r="R160" i="11"/>
  <c r="R159" i="11"/>
  <c r="R158" i="11"/>
  <c r="D158" i="11"/>
  <c r="C158" i="11"/>
  <c r="R157" i="11"/>
  <c r="D157" i="11"/>
  <c r="C157" i="11"/>
  <c r="R156" i="11"/>
  <c r="D156" i="11"/>
  <c r="C156" i="11"/>
  <c r="R155" i="11"/>
  <c r="D155" i="11"/>
  <c r="C155" i="11"/>
  <c r="R154" i="11"/>
  <c r="D154" i="11"/>
  <c r="C154" i="11"/>
  <c r="R153" i="11"/>
  <c r="D153" i="11"/>
  <c r="C153" i="11"/>
  <c r="D152" i="11"/>
  <c r="C152" i="11"/>
  <c r="D151" i="11"/>
  <c r="C151" i="11"/>
  <c r="D150" i="11"/>
  <c r="C150" i="11"/>
  <c r="R140" i="11"/>
  <c r="R139" i="11"/>
  <c r="R138" i="11"/>
  <c r="R137" i="11"/>
  <c r="R136" i="11"/>
  <c r="D136" i="11"/>
  <c r="C136" i="11"/>
  <c r="R135" i="11"/>
  <c r="D135" i="11"/>
  <c r="C135" i="11"/>
  <c r="R134" i="11"/>
  <c r="D134" i="11"/>
  <c r="C134" i="11"/>
  <c r="R133" i="11"/>
  <c r="D133" i="11"/>
  <c r="C133" i="11"/>
  <c r="R132" i="11"/>
  <c r="D132" i="11"/>
  <c r="C132" i="11"/>
  <c r="D131" i="11"/>
  <c r="C131" i="11"/>
  <c r="D130" i="11"/>
  <c r="C130" i="11"/>
  <c r="D129" i="11"/>
  <c r="C129" i="11"/>
  <c r="R115" i="11"/>
  <c r="R114" i="11"/>
  <c r="R113" i="11"/>
  <c r="R112" i="11"/>
  <c r="D112" i="11"/>
  <c r="C112" i="11"/>
  <c r="R111" i="11"/>
  <c r="D111" i="11"/>
  <c r="C111" i="11"/>
  <c r="R110" i="11"/>
  <c r="D110" i="11"/>
  <c r="C110" i="11"/>
  <c r="R109" i="11"/>
  <c r="D109" i="11"/>
  <c r="C109" i="11"/>
  <c r="R108" i="11"/>
  <c r="D108" i="11"/>
  <c r="C108" i="11"/>
  <c r="D107" i="11"/>
  <c r="C107" i="11"/>
  <c r="D106" i="11"/>
  <c r="C106" i="11"/>
  <c r="R98" i="11"/>
  <c r="R97" i="11"/>
  <c r="R96" i="11"/>
  <c r="R95" i="11"/>
  <c r="D95" i="11"/>
  <c r="C95" i="11"/>
  <c r="R94" i="11"/>
  <c r="D94" i="11"/>
  <c r="C94" i="11"/>
  <c r="R93" i="11"/>
  <c r="D93" i="11"/>
  <c r="C93" i="11"/>
  <c r="R92" i="11"/>
  <c r="D92" i="11"/>
  <c r="C92" i="11"/>
  <c r="R91" i="11"/>
  <c r="D91" i="11"/>
  <c r="C91" i="11"/>
  <c r="R90" i="11"/>
  <c r="D90" i="11"/>
  <c r="C90" i="11"/>
  <c r="R89" i="11"/>
  <c r="D89" i="11"/>
  <c r="C89" i="11"/>
  <c r="R88" i="11"/>
  <c r="D88" i="11"/>
  <c r="C88" i="11"/>
  <c r="R87" i="11"/>
  <c r="D87" i="11"/>
  <c r="C87" i="11"/>
  <c r="R86" i="11"/>
  <c r="D86" i="11"/>
  <c r="C86" i="11"/>
  <c r="R85" i="11"/>
  <c r="D85" i="11"/>
  <c r="C85" i="11"/>
  <c r="D84" i="11"/>
  <c r="C84" i="11"/>
  <c r="D83" i="11"/>
  <c r="C83" i="11"/>
  <c r="R74" i="11"/>
  <c r="R73" i="11"/>
  <c r="R72" i="11"/>
  <c r="R71" i="11"/>
  <c r="D71" i="11"/>
  <c r="C71" i="11"/>
  <c r="R70" i="11"/>
  <c r="D70" i="11"/>
  <c r="C70" i="11"/>
  <c r="R69" i="11"/>
  <c r="D69" i="11"/>
  <c r="C69" i="11"/>
  <c r="R68" i="11"/>
  <c r="D68" i="11"/>
  <c r="C68" i="11"/>
  <c r="R67" i="11"/>
  <c r="D67" i="11"/>
  <c r="C67" i="11"/>
  <c r="R66" i="11"/>
  <c r="D66" i="11"/>
  <c r="C66" i="11"/>
  <c r="R65" i="11"/>
  <c r="D65" i="11"/>
  <c r="C65" i="11"/>
  <c r="R64" i="11"/>
  <c r="D64" i="11"/>
  <c r="C64" i="11"/>
  <c r="R63" i="11"/>
  <c r="D63" i="11"/>
  <c r="C63" i="11"/>
  <c r="D62" i="11"/>
  <c r="C62" i="11"/>
  <c r="D61" i="11"/>
  <c r="C61" i="11"/>
  <c r="R51" i="11"/>
  <c r="R50" i="11"/>
  <c r="R49" i="11"/>
  <c r="R48" i="11"/>
  <c r="R47" i="11"/>
  <c r="D47" i="11"/>
  <c r="C47" i="11"/>
  <c r="R46" i="11"/>
  <c r="D46" i="11"/>
  <c r="C46" i="11"/>
  <c r="R45" i="11"/>
  <c r="D45" i="11"/>
  <c r="C45" i="11"/>
  <c r="R44" i="11"/>
  <c r="D44" i="11"/>
  <c r="C44" i="11"/>
  <c r="D43" i="11"/>
  <c r="C43" i="11"/>
  <c r="D42" i="11"/>
  <c r="C42" i="11"/>
  <c r="D41" i="11"/>
  <c r="C41" i="11"/>
  <c r="R32" i="11"/>
  <c r="R31" i="11"/>
  <c r="R30" i="11"/>
  <c r="R29" i="11"/>
  <c r="R28" i="11"/>
  <c r="R27" i="11"/>
  <c r="R26" i="11"/>
  <c r="D26" i="11"/>
  <c r="C26" i="11"/>
  <c r="R25" i="11"/>
  <c r="D25" i="11"/>
  <c r="C25" i="11"/>
  <c r="D24" i="11"/>
  <c r="C24" i="11"/>
  <c r="D23" i="11"/>
  <c r="C23" i="11"/>
  <c r="D22" i="11"/>
  <c r="C22" i="11"/>
  <c r="D21" i="11"/>
  <c r="C21" i="11"/>
  <c r="D20" i="11"/>
  <c r="C20" i="11"/>
  <c r="M78" i="3" l="1"/>
  <c r="K61" i="3"/>
  <c r="K65" i="3"/>
  <c r="K67" i="3"/>
  <c r="K69" i="3"/>
  <c r="K44" i="3"/>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4" i="4"/>
  <c r="F103" i="4"/>
  <c r="F102" i="4"/>
  <c r="F101" i="4"/>
  <c r="F100" i="4"/>
  <c r="F99" i="4"/>
  <c r="F98"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1" i="4"/>
  <c r="F30" i="4"/>
  <c r="F29" i="4"/>
  <c r="F28" i="4"/>
  <c r="D28" i="4"/>
  <c r="D29" i="4" s="1"/>
  <c r="D30" i="4" s="1"/>
  <c r="D31" i="4" s="1"/>
  <c r="D32" i="4" s="1"/>
  <c r="D33" i="4" s="1"/>
  <c r="D34" i="4" s="1"/>
  <c r="D35" i="4" s="1"/>
  <c r="D36" i="4" s="1"/>
  <c r="D37" i="4" s="1"/>
  <c r="D38" i="4" s="1"/>
  <c r="D39" i="4" s="1"/>
  <c r="D40" i="4" s="1"/>
  <c r="D41" i="4" s="1"/>
  <c r="D42" i="4" s="1"/>
  <c r="D43" i="4" s="1"/>
  <c r="D44" i="4" s="1"/>
  <c r="D45" i="4" s="1"/>
  <c r="D46" i="4" s="1"/>
  <c r="D47" i="4" s="1"/>
  <c r="D48" i="4" s="1"/>
  <c r="D49" i="4" s="1"/>
  <c r="D50" i="4" s="1"/>
  <c r="D51" i="4" s="1"/>
  <c r="D52" i="4" s="1"/>
  <c r="D53" i="4" s="1"/>
  <c r="D54" i="4" s="1"/>
  <c r="D55" i="4" s="1"/>
  <c r="D56" i="4" s="1"/>
  <c r="D57" i="4" s="1"/>
  <c r="D58" i="4" s="1"/>
  <c r="D59" i="4" s="1"/>
  <c r="D60" i="4" s="1"/>
  <c r="D61" i="4" s="1"/>
  <c r="D62" i="4" s="1"/>
  <c r="D63" i="4" s="1"/>
  <c r="D64" i="4" s="1"/>
  <c r="D65" i="4" s="1"/>
  <c r="D66" i="4" s="1"/>
  <c r="D67" i="4" s="1"/>
  <c r="D68" i="4" s="1"/>
  <c r="D69" i="4" s="1"/>
  <c r="D70" i="4" s="1"/>
  <c r="D71" i="4" s="1"/>
  <c r="D72" i="4" s="1"/>
  <c r="D73" i="4" s="1"/>
  <c r="D74" i="4" s="1"/>
  <c r="D75" i="4" s="1"/>
  <c r="D76" i="4" s="1"/>
  <c r="D77" i="4" s="1"/>
  <c r="D78" i="4" s="1"/>
  <c r="D79" i="4" s="1"/>
  <c r="D80" i="4" s="1"/>
  <c r="D81" i="4" s="1"/>
  <c r="D82" i="4" s="1"/>
  <c r="D83" i="4" s="1"/>
  <c r="D84" i="4" s="1"/>
  <c r="D85" i="4" s="1"/>
  <c r="D86" i="4" s="1"/>
  <c r="D87" i="4" s="1"/>
  <c r="D88" i="4" s="1"/>
  <c r="D89" i="4" s="1"/>
  <c r="D90" i="4" s="1"/>
  <c r="D91" i="4" s="1"/>
  <c r="D92" i="4" s="1"/>
  <c r="D93" i="4" s="1"/>
  <c r="D94" i="4" s="1"/>
  <c r="D95" i="4" s="1"/>
  <c r="D96" i="4" s="1"/>
  <c r="D97" i="4" s="1"/>
  <c r="D98" i="4" s="1"/>
  <c r="D99" i="4" s="1"/>
  <c r="D100" i="4" s="1"/>
  <c r="D101" i="4" s="1"/>
  <c r="D102" i="4" s="1"/>
  <c r="D103" i="4" s="1"/>
  <c r="D104" i="4" s="1"/>
  <c r="D105" i="4" s="1"/>
  <c r="D106" i="4" s="1"/>
  <c r="D107" i="4" s="1"/>
  <c r="D108" i="4" s="1"/>
  <c r="D109" i="4" s="1"/>
  <c r="D110" i="4" s="1"/>
  <c r="D111" i="4" s="1"/>
  <c r="D112" i="4" s="1"/>
  <c r="D113" i="4" s="1"/>
  <c r="D114" i="4" s="1"/>
  <c r="D115" i="4" s="1"/>
  <c r="D116" i="4" s="1"/>
  <c r="D117" i="4" s="1"/>
  <c r="D118" i="4" s="1"/>
  <c r="D119" i="4" s="1"/>
  <c r="D120" i="4" s="1"/>
  <c r="D121" i="4" s="1"/>
  <c r="D122" i="4" s="1"/>
  <c r="D123" i="4" s="1"/>
  <c r="D124" i="4" s="1"/>
  <c r="D125" i="4" s="1"/>
  <c r="D126" i="4" s="1"/>
  <c r="F27" i="4"/>
  <c r="F26" i="4"/>
  <c r="D24" i="4"/>
  <c r="D23" i="4" s="1"/>
  <c r="D22" i="4" s="1"/>
  <c r="D21" i="4" s="1"/>
  <c r="D20" i="4" s="1"/>
  <c r="D19" i="4" s="1"/>
  <c r="D18" i="4" s="1"/>
  <c r="D17" i="4" s="1"/>
  <c r="D16" i="4" s="1"/>
  <c r="D15" i="4" s="1"/>
  <c r="D14" i="4" s="1"/>
  <c r="D13" i="4" s="1"/>
  <c r="D12" i="4" s="1"/>
  <c r="D11" i="4" s="1"/>
  <c r="D10" i="4" s="1"/>
  <c r="D9" i="4" s="1"/>
  <c r="D8" i="4" s="1"/>
  <c r="D7" i="4" s="1"/>
  <c r="D6" i="4" s="1"/>
  <c r="K78" i="3"/>
  <c r="M76" i="3"/>
  <c r="K76" i="3"/>
  <c r="M74" i="3"/>
  <c r="K74" i="3"/>
  <c r="M69" i="3"/>
  <c r="M67" i="3"/>
  <c r="M65" i="3"/>
  <c r="M61" i="3"/>
  <c r="M59" i="3"/>
  <c r="K59" i="3" s="1"/>
  <c r="M57" i="3"/>
  <c r="K57" i="3" s="1"/>
  <c r="L31" i="3"/>
  <c r="L29" i="3"/>
  <c r="L27" i="3"/>
  <c r="L25" i="3"/>
  <c r="L24" i="3"/>
  <c r="L23" i="3"/>
  <c r="L22" i="3"/>
  <c r="L19" i="3"/>
  <c r="L16" i="3"/>
  <c r="L15" i="3"/>
  <c r="L14" i="3"/>
  <c r="L13" i="3"/>
  <c r="L12" i="3"/>
  <c r="J1" i="3"/>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I58" i="2" s="1"/>
  <c r="H57" i="2"/>
  <c r="H56" i="2"/>
  <c r="I56" i="2" s="1"/>
  <c r="H55" i="2"/>
  <c r="I55" i="2" s="1"/>
  <c r="H54" i="2"/>
  <c r="H53" i="2"/>
  <c r="H52" i="2"/>
  <c r="H51" i="2"/>
  <c r="H50" i="2"/>
  <c r="H49" i="2"/>
  <c r="H48" i="2"/>
  <c r="H47" i="2"/>
  <c r="L46" i="2"/>
  <c r="K46" i="2"/>
  <c r="L45" i="2"/>
  <c r="L44" i="2"/>
  <c r="K44" i="2"/>
  <c r="L43" i="2"/>
  <c r="K43" i="2"/>
  <c r="L42" i="2"/>
  <c r="K42" i="2"/>
  <c r="L41" i="2"/>
  <c r="K41" i="2"/>
  <c r="L40" i="2"/>
  <c r="K40" i="2"/>
  <c r="L39" i="2"/>
  <c r="K39" i="2"/>
  <c r="L38" i="2"/>
  <c r="K38" i="2"/>
  <c r="L37" i="2"/>
  <c r="K37" i="2"/>
  <c r="L36" i="2"/>
  <c r="K36" i="2"/>
  <c r="L35" i="2"/>
  <c r="K35" i="2"/>
  <c r="L34" i="2"/>
  <c r="K34" i="2"/>
  <c r="L33" i="2"/>
  <c r="K33" i="2"/>
  <c r="L32" i="2"/>
  <c r="K32" i="2"/>
  <c r="L31" i="2"/>
  <c r="K31" i="2"/>
  <c r="L30" i="2"/>
  <c r="K30" i="2"/>
  <c r="L29" i="2"/>
  <c r="K29" i="2"/>
  <c r="L28" i="2"/>
  <c r="K28" i="2"/>
  <c r="L27" i="2"/>
  <c r="K27" i="2"/>
  <c r="L26" i="2"/>
  <c r="K26" i="2"/>
  <c r="L25" i="2"/>
  <c r="K25" i="2"/>
  <c r="L24" i="2"/>
  <c r="K24" i="2"/>
  <c r="L23" i="2"/>
  <c r="K23" i="2"/>
  <c r="L22" i="2"/>
  <c r="K22" i="2"/>
  <c r="L21" i="2"/>
  <c r="K21" i="2"/>
  <c r="L20" i="2"/>
  <c r="K20" i="2"/>
  <c r="L19" i="2"/>
  <c r="K19" i="2"/>
  <c r="L18" i="2"/>
  <c r="K18" i="2"/>
  <c r="L17" i="2"/>
  <c r="K17" i="2"/>
  <c r="L16" i="2"/>
  <c r="K16" i="2"/>
  <c r="L15" i="2"/>
  <c r="K15" i="2"/>
  <c r="L14" i="2"/>
  <c r="K14" i="2"/>
  <c r="L13" i="2"/>
  <c r="K13" i="2"/>
  <c r="L12" i="2"/>
  <c r="K12" i="2"/>
  <c r="L11" i="2"/>
  <c r="K11" i="2"/>
  <c r="L10" i="2"/>
  <c r="K10" i="2"/>
  <c r="L9" i="2"/>
  <c r="K9" i="2"/>
  <c r="L8" i="2"/>
  <c r="K8" i="2"/>
  <c r="L7" i="2"/>
  <c r="K7" i="2"/>
  <c r="L6" i="2"/>
  <c r="K6" i="2"/>
  <c r="L5" i="2"/>
  <c r="K5" i="2"/>
  <c r="L4" i="2"/>
  <c r="K4" i="2"/>
  <c r="L3" i="2"/>
  <c r="O61" i="2" l="1"/>
  <c r="Q61" i="2" s="1"/>
  <c r="I61" i="2"/>
  <c r="O77" i="2"/>
  <c r="I77" i="2"/>
  <c r="O84" i="2"/>
  <c r="Q84" i="2" s="1"/>
  <c r="I84" i="2"/>
  <c r="O62" i="2"/>
  <c r="Q62" i="2" s="1"/>
  <c r="I62" i="2"/>
  <c r="O78" i="2"/>
  <c r="I78" i="2"/>
  <c r="N48" i="2"/>
  <c r="O48" i="2"/>
  <c r="Q48" i="2" s="1"/>
  <c r="I48" i="2"/>
  <c r="N49" i="2"/>
  <c r="O49" i="2"/>
  <c r="Q49" i="2" s="1"/>
  <c r="I49" i="2"/>
  <c r="O65" i="2"/>
  <c r="Q65" i="2" s="1"/>
  <c r="I65" i="2"/>
  <c r="O81" i="2"/>
  <c r="Q81" i="2" s="1"/>
  <c r="I81" i="2"/>
  <c r="N50" i="2"/>
  <c r="O50" i="2"/>
  <c r="Q50" i="2" s="1"/>
  <c r="I50" i="2"/>
  <c r="O66" i="2"/>
  <c r="Q66" i="2" s="1"/>
  <c r="I66" i="2"/>
  <c r="O82" i="2"/>
  <c r="Q82" i="2" s="1"/>
  <c r="I82" i="2"/>
  <c r="O64" i="2"/>
  <c r="Q64" i="2" s="1"/>
  <c r="I64" i="2"/>
  <c r="O80" i="2"/>
  <c r="Q80" i="2" s="1"/>
  <c r="I80" i="2"/>
  <c r="N51" i="2"/>
  <c r="O51" i="2"/>
  <c r="Q51" i="2" s="1"/>
  <c r="I51" i="2"/>
  <c r="O67" i="2"/>
  <c r="Q67" i="2" s="1"/>
  <c r="I67" i="2"/>
  <c r="O83" i="2"/>
  <c r="Q83" i="2" s="1"/>
  <c r="I83" i="2"/>
  <c r="N53" i="2"/>
  <c r="O53" i="2"/>
  <c r="Q53" i="2" s="1"/>
  <c r="I53" i="2"/>
  <c r="O69" i="2"/>
  <c r="Q69" i="2" s="1"/>
  <c r="I69" i="2"/>
  <c r="O85" i="2"/>
  <c r="Q85" i="2" s="1"/>
  <c r="I85" i="2"/>
  <c r="N54" i="2"/>
  <c r="I54" i="2"/>
  <c r="O70" i="2"/>
  <c r="Q70" i="2" s="1"/>
  <c r="I70" i="2"/>
  <c r="O86" i="2"/>
  <c r="Q86" i="2" s="1"/>
  <c r="I86" i="2"/>
  <c r="O63" i="2"/>
  <c r="Q63" i="2" s="1"/>
  <c r="I63" i="2"/>
  <c r="O71" i="2"/>
  <c r="Q71" i="2" s="1"/>
  <c r="I71" i="2"/>
  <c r="O87" i="2"/>
  <c r="Q87" i="2" s="1"/>
  <c r="I87" i="2"/>
  <c r="P11" i="14" s="1"/>
  <c r="L96" i="14" s="1"/>
  <c r="O68" i="2"/>
  <c r="Q68" i="2" s="1"/>
  <c r="I68" i="2"/>
  <c r="Q72" i="2"/>
  <c r="O72" i="2"/>
  <c r="I72" i="2"/>
  <c r="O88" i="2"/>
  <c r="Q88" i="2" s="1"/>
  <c r="I88" i="2"/>
  <c r="O79" i="2"/>
  <c r="I79" i="2"/>
  <c r="N57" i="2"/>
  <c r="I57" i="2"/>
  <c r="O73" i="2"/>
  <c r="Q73" i="2" s="1"/>
  <c r="I73" i="2"/>
  <c r="O89" i="2"/>
  <c r="Q89" i="2" s="1"/>
  <c r="I89" i="2"/>
  <c r="O52" i="2"/>
  <c r="Q52" i="2" s="1"/>
  <c r="I52" i="2"/>
  <c r="O74" i="2"/>
  <c r="I74" i="2"/>
  <c r="O90" i="2"/>
  <c r="Q90" i="2" s="1"/>
  <c r="I90" i="2"/>
  <c r="N59" i="2"/>
  <c r="I59" i="2"/>
  <c r="O75" i="2"/>
  <c r="I75" i="2"/>
  <c r="O91" i="2"/>
  <c r="Q91" i="2" s="1"/>
  <c r="I91" i="2"/>
  <c r="O47" i="2"/>
  <c r="Q47" i="2" s="1"/>
  <c r="I47" i="2"/>
  <c r="O60" i="2"/>
  <c r="I60" i="2"/>
  <c r="O76" i="2"/>
  <c r="I76" i="2"/>
  <c r="O92" i="2"/>
  <c r="Q92" i="2" s="1"/>
  <c r="I92" i="2"/>
  <c r="E11" i="14"/>
  <c r="O125" i="14" s="1"/>
  <c r="I125" i="14" s="1"/>
  <c r="L61" i="2"/>
  <c r="N61" i="2"/>
  <c r="L77" i="2"/>
  <c r="N77" i="2"/>
  <c r="L78" i="2"/>
  <c r="N78" i="2"/>
  <c r="K47" i="2"/>
  <c r="N47" i="2"/>
  <c r="L63" i="2"/>
  <c r="N63" i="2"/>
  <c r="L79" i="2"/>
  <c r="N79" i="2"/>
  <c r="L64" i="2"/>
  <c r="N64" i="2"/>
  <c r="L80" i="2"/>
  <c r="N80" i="2"/>
  <c r="L65" i="2"/>
  <c r="N65" i="2"/>
  <c r="L81" i="2"/>
  <c r="N81" i="2"/>
  <c r="L66" i="2"/>
  <c r="N66" i="2"/>
  <c r="L82" i="2"/>
  <c r="N82" i="2"/>
  <c r="K67" i="2"/>
  <c r="N67" i="2"/>
  <c r="K83" i="2"/>
  <c r="N83" i="2"/>
  <c r="K52" i="2"/>
  <c r="N52" i="2"/>
  <c r="K68" i="2"/>
  <c r="N68" i="2"/>
  <c r="L84" i="2"/>
  <c r="N84" i="2"/>
  <c r="L62" i="2"/>
  <c r="N62" i="2"/>
  <c r="L69" i="2"/>
  <c r="N69" i="2"/>
  <c r="L85" i="2"/>
  <c r="N85" i="2"/>
  <c r="L70" i="2"/>
  <c r="N70" i="2"/>
  <c r="L86" i="2"/>
  <c r="N86" i="2"/>
  <c r="K55" i="2"/>
  <c r="N55" i="2"/>
  <c r="K71" i="2"/>
  <c r="N71" i="2"/>
  <c r="K87" i="2"/>
  <c r="N87" i="2"/>
  <c r="K56" i="2"/>
  <c r="N56" i="2"/>
  <c r="K72" i="2"/>
  <c r="N72" i="2"/>
  <c r="L88" i="2"/>
  <c r="N88" i="2"/>
  <c r="L73" i="2"/>
  <c r="N73" i="2"/>
  <c r="L89" i="2"/>
  <c r="N89" i="2"/>
  <c r="K58" i="2"/>
  <c r="N58" i="2"/>
  <c r="L74" i="2"/>
  <c r="N74" i="2"/>
  <c r="L90" i="2"/>
  <c r="N90" i="2"/>
  <c r="L75" i="2"/>
  <c r="N75" i="2"/>
  <c r="L91" i="2"/>
  <c r="N91" i="2"/>
  <c r="L60" i="2"/>
  <c r="N60" i="2"/>
  <c r="L76" i="2"/>
  <c r="N76" i="2"/>
  <c r="L92" i="2"/>
  <c r="N92" i="2"/>
  <c r="L48" i="2"/>
  <c r="K48" i="2"/>
  <c r="L49" i="2"/>
  <c r="K49" i="2"/>
  <c r="K50" i="2"/>
  <c r="G117" i="14" s="1"/>
  <c r="L51" i="2"/>
  <c r="K51" i="2"/>
  <c r="L53" i="2"/>
  <c r="K53" i="2"/>
  <c r="L54" i="2"/>
  <c r="K54" i="2"/>
  <c r="L57" i="2"/>
  <c r="K57" i="2"/>
  <c r="L59" i="2"/>
  <c r="K59" i="2"/>
  <c r="L71" i="2"/>
  <c r="K82" i="2"/>
  <c r="K61" i="2"/>
  <c r="K73" i="2"/>
  <c r="L50" i="2"/>
  <c r="O11" i="14" s="1"/>
  <c r="K11" i="14" s="1"/>
  <c r="K75" i="2"/>
  <c r="L87" i="2"/>
  <c r="K66" i="2"/>
  <c r="K77" i="2"/>
  <c r="L55" i="2"/>
  <c r="K89" i="2"/>
  <c r="K91" i="2"/>
  <c r="K41" i="3"/>
  <c r="K46" i="3" s="1"/>
  <c r="K80" i="3" s="1"/>
  <c r="K62" i="2"/>
  <c r="L67" i="2"/>
  <c r="K78" i="2"/>
  <c r="L83" i="2"/>
  <c r="K84" i="2"/>
  <c r="L72" i="2"/>
  <c r="K63" i="2"/>
  <c r="L68" i="2"/>
  <c r="K79" i="2"/>
  <c r="K74" i="2"/>
  <c r="K90" i="2"/>
  <c r="L52" i="2"/>
  <c r="L58" i="2"/>
  <c r="K69" i="2"/>
  <c r="K85" i="2"/>
  <c r="K88" i="2"/>
  <c r="K64" i="2"/>
  <c r="K80" i="2"/>
  <c r="K70" i="2"/>
  <c r="K86" i="2"/>
  <c r="L56" i="2"/>
  <c r="K65" i="2"/>
  <c r="K81" i="2"/>
  <c r="L47" i="2"/>
  <c r="K60" i="2"/>
  <c r="K76" i="2"/>
  <c r="K92" i="2"/>
  <c r="O117" i="14" l="1"/>
  <c r="I117" i="14" s="1"/>
  <c r="O126" i="14"/>
  <c r="I126" i="14" s="1"/>
  <c r="O134" i="14"/>
  <c r="I134" i="14" s="1"/>
  <c r="O133" i="14"/>
  <c r="I133" i="14" s="1"/>
  <c r="O122" i="14"/>
  <c r="I122" i="14" s="1"/>
  <c r="O129" i="14"/>
  <c r="I129" i="14" s="1"/>
  <c r="O124" i="14"/>
  <c r="I124" i="14" s="1"/>
  <c r="O131" i="14"/>
  <c r="I131" i="14" s="1"/>
  <c r="O119" i="14"/>
  <c r="I119" i="14" s="1"/>
  <c r="O121" i="14"/>
  <c r="I121" i="14" s="1"/>
  <c r="O128" i="14"/>
  <c r="I128" i="14" s="1"/>
  <c r="O118" i="14"/>
  <c r="I118" i="14" s="1"/>
  <c r="O130" i="14"/>
  <c r="I130" i="14" s="1"/>
  <c r="O132" i="14"/>
  <c r="I132" i="14" s="1"/>
  <c r="O127" i="14"/>
  <c r="I127" i="14" s="1"/>
  <c r="O123" i="14"/>
  <c r="I123" i="14" s="1"/>
  <c r="O120" i="14"/>
  <c r="I120" i="14" s="1"/>
  <c r="L37" i="14"/>
  <c r="L43" i="14"/>
  <c r="L46" i="14"/>
  <c r="L41" i="14"/>
  <c r="D117" i="14"/>
  <c r="L39" i="14"/>
  <c r="L42" i="14"/>
  <c r="L36" i="14"/>
  <c r="L44" i="14"/>
  <c r="L38" i="14"/>
  <c r="L47" i="14"/>
  <c r="L40" i="14"/>
  <c r="L45" i="14"/>
  <c r="L48" i="14"/>
  <c r="K82" i="3"/>
  <c r="E136" i="14" l="1"/>
  <c r="F136" i="14" s="1"/>
  <c r="E152" i="14"/>
  <c r="F152" i="14" s="1"/>
  <c r="E168" i="14"/>
  <c r="F168" i="14" s="1"/>
  <c r="E184" i="14"/>
  <c r="F184" i="14" s="1"/>
  <c r="E200" i="14"/>
  <c r="F200" i="14" s="1"/>
  <c r="E216" i="14"/>
  <c r="F216" i="14" s="1"/>
  <c r="E232" i="14"/>
  <c r="F232" i="14" s="1"/>
  <c r="E248" i="14"/>
  <c r="F248" i="14" s="1"/>
  <c r="E264" i="14"/>
  <c r="F264" i="14" s="1"/>
  <c r="E280" i="14"/>
  <c r="F280" i="14" s="1"/>
  <c r="E296" i="14"/>
  <c r="F296" i="14" s="1"/>
  <c r="E222" i="14"/>
  <c r="F222" i="14" s="1"/>
  <c r="E224" i="14"/>
  <c r="F224" i="14" s="1"/>
  <c r="E289" i="14"/>
  <c r="F289" i="14" s="1"/>
  <c r="E226" i="14"/>
  <c r="F226" i="14" s="1"/>
  <c r="E290" i="14"/>
  <c r="F290" i="14" s="1"/>
  <c r="E243" i="14"/>
  <c r="F243" i="14" s="1"/>
  <c r="E276" i="14"/>
  <c r="F276" i="14" s="1"/>
  <c r="E165" i="14"/>
  <c r="F165" i="14" s="1"/>
  <c r="E231" i="14"/>
  <c r="F231" i="14" s="1"/>
  <c r="E122" i="14"/>
  <c r="F122" i="14" s="1"/>
  <c r="E137" i="14"/>
  <c r="F137" i="14" s="1"/>
  <c r="E153" i="14"/>
  <c r="F153" i="14" s="1"/>
  <c r="E169" i="14"/>
  <c r="F169" i="14" s="1"/>
  <c r="E185" i="14"/>
  <c r="F185" i="14" s="1"/>
  <c r="E201" i="14"/>
  <c r="F201" i="14" s="1"/>
  <c r="E217" i="14"/>
  <c r="F217" i="14" s="1"/>
  <c r="E233" i="14"/>
  <c r="F233" i="14" s="1"/>
  <c r="E249" i="14"/>
  <c r="F249" i="14" s="1"/>
  <c r="E265" i="14"/>
  <c r="F265" i="14" s="1"/>
  <c r="E281" i="14"/>
  <c r="F281" i="14" s="1"/>
  <c r="E297" i="14"/>
  <c r="F297" i="14" s="1"/>
  <c r="E123" i="14"/>
  <c r="F123" i="14" s="1"/>
  <c r="E171" i="14"/>
  <c r="F171" i="14" s="1"/>
  <c r="E251" i="14"/>
  <c r="F251" i="14" s="1"/>
  <c r="E301" i="14"/>
  <c r="F301" i="14" s="1"/>
  <c r="E126" i="14"/>
  <c r="F126" i="14" s="1"/>
  <c r="E190" i="14"/>
  <c r="F190" i="14" s="1"/>
  <c r="E238" i="14"/>
  <c r="F238" i="14" s="1"/>
  <c r="E302" i="14"/>
  <c r="F302" i="14" s="1"/>
  <c r="E255" i="14"/>
  <c r="F255" i="14" s="1"/>
  <c r="E145" i="14"/>
  <c r="F145" i="14" s="1"/>
  <c r="E241" i="14"/>
  <c r="F241" i="14" s="1"/>
  <c r="E179" i="14"/>
  <c r="F179" i="14" s="1"/>
  <c r="E275" i="14"/>
  <c r="F275" i="14" s="1"/>
  <c r="E292" i="14"/>
  <c r="F292" i="14" s="1"/>
  <c r="E197" i="14"/>
  <c r="F197" i="14" s="1"/>
  <c r="E198" i="14"/>
  <c r="F198" i="14" s="1"/>
  <c r="E295" i="14"/>
  <c r="F295" i="14" s="1"/>
  <c r="E121" i="14"/>
  <c r="F121" i="14" s="1"/>
  <c r="E138" i="14"/>
  <c r="F138" i="14" s="1"/>
  <c r="E154" i="14"/>
  <c r="F154" i="14" s="1"/>
  <c r="E170" i="14"/>
  <c r="F170" i="14" s="1"/>
  <c r="E186" i="14"/>
  <c r="F186" i="14" s="1"/>
  <c r="E202" i="14"/>
  <c r="F202" i="14" s="1"/>
  <c r="E218" i="14"/>
  <c r="F218" i="14" s="1"/>
  <c r="E234" i="14"/>
  <c r="F234" i="14" s="1"/>
  <c r="E250" i="14"/>
  <c r="F250" i="14" s="1"/>
  <c r="E266" i="14"/>
  <c r="F266" i="14" s="1"/>
  <c r="E282" i="14"/>
  <c r="F282" i="14" s="1"/>
  <c r="E298" i="14"/>
  <c r="F298" i="14" s="1"/>
  <c r="E139" i="14"/>
  <c r="F139" i="14" s="1"/>
  <c r="E155" i="14"/>
  <c r="F155" i="14" s="1"/>
  <c r="E187" i="14"/>
  <c r="F187" i="14" s="1"/>
  <c r="E203" i="14"/>
  <c r="F203" i="14" s="1"/>
  <c r="E219" i="14"/>
  <c r="F219" i="14" s="1"/>
  <c r="E235" i="14"/>
  <c r="F235" i="14" s="1"/>
  <c r="E267" i="14"/>
  <c r="F267" i="14" s="1"/>
  <c r="E283" i="14"/>
  <c r="F283" i="14" s="1"/>
  <c r="E299" i="14"/>
  <c r="F299" i="14" s="1"/>
  <c r="E269" i="14"/>
  <c r="F269" i="14" s="1"/>
  <c r="E158" i="14"/>
  <c r="F158" i="14" s="1"/>
  <c r="E286" i="14"/>
  <c r="F286" i="14" s="1"/>
  <c r="E287" i="14"/>
  <c r="F287" i="14" s="1"/>
  <c r="E288" i="14"/>
  <c r="F288" i="14" s="1"/>
  <c r="E273" i="14"/>
  <c r="F273" i="14" s="1"/>
  <c r="E305" i="14"/>
  <c r="F305" i="14" s="1"/>
  <c r="E242" i="14"/>
  <c r="F242" i="14" s="1"/>
  <c r="E277" i="14"/>
  <c r="F277" i="14" s="1"/>
  <c r="E199" i="14"/>
  <c r="F199" i="14" s="1"/>
  <c r="E212" i="14"/>
  <c r="F212" i="14" s="1"/>
  <c r="E262" i="14"/>
  <c r="F262" i="14" s="1"/>
  <c r="E124" i="14"/>
  <c r="F124" i="14" s="1"/>
  <c r="E140" i="14"/>
  <c r="F140" i="14" s="1"/>
  <c r="E156" i="14"/>
  <c r="F156" i="14" s="1"/>
  <c r="E172" i="14"/>
  <c r="F172" i="14" s="1"/>
  <c r="E188" i="14"/>
  <c r="F188" i="14" s="1"/>
  <c r="E204" i="14"/>
  <c r="F204" i="14" s="1"/>
  <c r="E220" i="14"/>
  <c r="F220" i="14" s="1"/>
  <c r="E236" i="14"/>
  <c r="F236" i="14" s="1"/>
  <c r="E252" i="14"/>
  <c r="F252" i="14" s="1"/>
  <c r="E268" i="14"/>
  <c r="F268" i="14" s="1"/>
  <c r="E284" i="14"/>
  <c r="F284" i="14" s="1"/>
  <c r="E300" i="14"/>
  <c r="F300" i="14" s="1"/>
  <c r="E142" i="14"/>
  <c r="F142" i="14" s="1"/>
  <c r="E206" i="14"/>
  <c r="F206" i="14" s="1"/>
  <c r="E254" i="14"/>
  <c r="F254" i="14" s="1"/>
  <c r="E303" i="14"/>
  <c r="F303" i="14" s="1"/>
  <c r="E177" i="14"/>
  <c r="F177" i="14" s="1"/>
  <c r="E211" i="14"/>
  <c r="F211" i="14" s="1"/>
  <c r="E213" i="14"/>
  <c r="F213" i="14" s="1"/>
  <c r="E182" i="14"/>
  <c r="F182" i="14" s="1"/>
  <c r="E125" i="14"/>
  <c r="F125" i="14" s="1"/>
  <c r="E141" i="14"/>
  <c r="F141" i="14" s="1"/>
  <c r="E157" i="14"/>
  <c r="F157" i="14" s="1"/>
  <c r="E173" i="14"/>
  <c r="F173" i="14" s="1"/>
  <c r="E189" i="14"/>
  <c r="F189" i="14" s="1"/>
  <c r="E205" i="14"/>
  <c r="F205" i="14" s="1"/>
  <c r="E221" i="14"/>
  <c r="F221" i="14" s="1"/>
  <c r="E237" i="14"/>
  <c r="F237" i="14" s="1"/>
  <c r="E253" i="14"/>
  <c r="F253" i="14" s="1"/>
  <c r="E285" i="14"/>
  <c r="F285" i="14" s="1"/>
  <c r="E174" i="14"/>
  <c r="F174" i="14" s="1"/>
  <c r="E270" i="14"/>
  <c r="F270" i="14" s="1"/>
  <c r="E271" i="14"/>
  <c r="F271" i="14" s="1"/>
  <c r="E272" i="14"/>
  <c r="F272" i="14" s="1"/>
  <c r="E193" i="14"/>
  <c r="F193" i="14" s="1"/>
  <c r="E259" i="14"/>
  <c r="F259" i="14" s="1"/>
  <c r="E149" i="14"/>
  <c r="F149" i="14" s="1"/>
  <c r="E167" i="14"/>
  <c r="F167" i="14" s="1"/>
  <c r="E127" i="14"/>
  <c r="F127" i="14" s="1"/>
  <c r="E143" i="14"/>
  <c r="F143" i="14" s="1"/>
  <c r="E159" i="14"/>
  <c r="F159" i="14" s="1"/>
  <c r="E175" i="14"/>
  <c r="F175" i="14" s="1"/>
  <c r="E191" i="14"/>
  <c r="F191" i="14" s="1"/>
  <c r="E207" i="14"/>
  <c r="F207" i="14" s="1"/>
  <c r="E223" i="14"/>
  <c r="F223" i="14" s="1"/>
  <c r="E239" i="14"/>
  <c r="F239" i="14" s="1"/>
  <c r="E209" i="14"/>
  <c r="F209" i="14" s="1"/>
  <c r="E274" i="14"/>
  <c r="F274" i="14" s="1"/>
  <c r="E148" i="14"/>
  <c r="F148" i="14" s="1"/>
  <c r="E244" i="14"/>
  <c r="F244" i="14" s="1"/>
  <c r="E229" i="14"/>
  <c r="F229" i="14" s="1"/>
  <c r="E166" i="14"/>
  <c r="F166" i="14" s="1"/>
  <c r="E279" i="14"/>
  <c r="F279" i="14" s="1"/>
  <c r="E128" i="14"/>
  <c r="F128" i="14" s="1"/>
  <c r="E144" i="14"/>
  <c r="F144" i="14" s="1"/>
  <c r="E160" i="14"/>
  <c r="F160" i="14" s="1"/>
  <c r="E176" i="14"/>
  <c r="F176" i="14" s="1"/>
  <c r="E192" i="14"/>
  <c r="F192" i="14" s="1"/>
  <c r="E208" i="14"/>
  <c r="F208" i="14" s="1"/>
  <c r="E240" i="14"/>
  <c r="F240" i="14" s="1"/>
  <c r="E256" i="14"/>
  <c r="F256" i="14" s="1"/>
  <c r="E304" i="14"/>
  <c r="F304" i="14" s="1"/>
  <c r="E225" i="14"/>
  <c r="F225" i="14" s="1"/>
  <c r="E307" i="14"/>
  <c r="F307" i="14" s="1"/>
  <c r="E180" i="14"/>
  <c r="F180" i="14" s="1"/>
  <c r="E181" i="14"/>
  <c r="F181" i="14" s="1"/>
  <c r="E135" i="14"/>
  <c r="F135" i="14" s="1"/>
  <c r="E183" i="14"/>
  <c r="F183" i="14" s="1"/>
  <c r="E129" i="14"/>
  <c r="F129" i="14" s="1"/>
  <c r="E161" i="14"/>
  <c r="F161" i="14" s="1"/>
  <c r="E257" i="14"/>
  <c r="F257" i="14" s="1"/>
  <c r="E195" i="14"/>
  <c r="F195" i="14" s="1"/>
  <c r="E291" i="14"/>
  <c r="F291" i="14" s="1"/>
  <c r="E260" i="14"/>
  <c r="F260" i="14" s="1"/>
  <c r="E294" i="14"/>
  <c r="F294" i="14" s="1"/>
  <c r="E263" i="14"/>
  <c r="F263" i="14" s="1"/>
  <c r="E130" i="14"/>
  <c r="F130" i="14" s="1"/>
  <c r="E146" i="14"/>
  <c r="F146" i="14" s="1"/>
  <c r="E162" i="14"/>
  <c r="F162" i="14" s="1"/>
  <c r="E178" i="14"/>
  <c r="F178" i="14" s="1"/>
  <c r="E194" i="14"/>
  <c r="F194" i="14" s="1"/>
  <c r="E210" i="14"/>
  <c r="F210" i="14" s="1"/>
  <c r="E258" i="14"/>
  <c r="F258" i="14" s="1"/>
  <c r="E306" i="14"/>
  <c r="F306" i="14" s="1"/>
  <c r="E196" i="14"/>
  <c r="F196" i="14" s="1"/>
  <c r="E245" i="14"/>
  <c r="F245" i="14" s="1"/>
  <c r="E214" i="14"/>
  <c r="F214" i="14" s="1"/>
  <c r="E131" i="14"/>
  <c r="F131" i="14" s="1"/>
  <c r="E147" i="14"/>
  <c r="F147" i="14" s="1"/>
  <c r="E163" i="14"/>
  <c r="F163" i="14" s="1"/>
  <c r="E227" i="14"/>
  <c r="F227" i="14" s="1"/>
  <c r="E261" i="14"/>
  <c r="F261" i="14" s="1"/>
  <c r="E215" i="14"/>
  <c r="F215" i="14" s="1"/>
  <c r="E132" i="14"/>
  <c r="F132" i="14" s="1"/>
  <c r="E164" i="14"/>
  <c r="F164" i="14" s="1"/>
  <c r="E228" i="14"/>
  <c r="F228" i="14" s="1"/>
  <c r="E293" i="14"/>
  <c r="F293" i="14" s="1"/>
  <c r="E278" i="14"/>
  <c r="F278" i="14" s="1"/>
  <c r="E247" i="14"/>
  <c r="F247" i="14" s="1"/>
  <c r="E133" i="14"/>
  <c r="F133" i="14" s="1"/>
  <c r="E246" i="14"/>
  <c r="F246" i="14" s="1"/>
  <c r="E134" i="14"/>
  <c r="F134" i="14" s="1"/>
  <c r="E150" i="14"/>
  <c r="F150" i="14" s="1"/>
  <c r="E230" i="14"/>
  <c r="F230" i="14" s="1"/>
  <c r="E151" i="14"/>
  <c r="F151" i="14" s="1"/>
  <c r="L51" i="14"/>
  <c r="H119" i="14" l="1"/>
  <c r="L22" i="14" l="1"/>
  <c r="L13" i="14" s="1"/>
  <c r="L32" i="14" s="1"/>
  <c r="L53" i="14" s="1"/>
  <c r="L69" i="14" s="1"/>
  <c r="J156" i="14" s="1"/>
  <c r="N127" i="14"/>
  <c r="N126" i="14"/>
  <c r="N121" i="14"/>
  <c r="N129" i="14"/>
  <c r="N120" i="14"/>
  <c r="N133" i="14"/>
  <c r="N122" i="14"/>
  <c r="N119" i="14"/>
  <c r="N128" i="14"/>
  <c r="N123" i="14"/>
  <c r="N118" i="14"/>
  <c r="N130" i="14"/>
  <c r="N132" i="14"/>
  <c r="N117" i="14"/>
  <c r="N131" i="14"/>
  <c r="N134" i="14"/>
  <c r="N124" i="14"/>
  <c r="N125" i="14"/>
  <c r="L131" i="14" l="1"/>
  <c r="J131" i="14"/>
  <c r="L132" i="14"/>
  <c r="J132" i="14"/>
  <c r="J130" i="14"/>
  <c r="L130" i="14"/>
  <c r="L119" i="14"/>
  <c r="J119" i="14"/>
  <c r="L126" i="14"/>
  <c r="J126" i="14"/>
  <c r="L134" i="14"/>
  <c r="J134" i="14"/>
  <c r="L117" i="14"/>
  <c r="J117" i="14"/>
  <c r="L118" i="14"/>
  <c r="J118" i="14"/>
  <c r="J123" i="14"/>
  <c r="L123" i="14"/>
  <c r="L128" i="14"/>
  <c r="J128" i="14"/>
  <c r="J122" i="14"/>
  <c r="L122" i="14"/>
  <c r="L133" i="14"/>
  <c r="J133" i="14"/>
  <c r="J120" i="14"/>
  <c r="L120" i="14"/>
  <c r="L129" i="14"/>
  <c r="J129" i="14"/>
  <c r="J125" i="14"/>
  <c r="L125" i="14"/>
  <c r="J121" i="14"/>
  <c r="L121" i="14"/>
  <c r="L124" i="14"/>
  <c r="J124" i="14"/>
  <c r="L127" i="14"/>
  <c r="J12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Stibitz, Christian</author>
  </authors>
  <commentList>
    <comment ref="E10" authorId="0" shapeId="0" xr:uid="{00000000-0006-0000-0100-000001000000}">
      <text>
        <r>
          <rPr>
            <b/>
            <sz val="12"/>
            <color indexed="81"/>
            <rFont val="Segoe UI"/>
            <family val="2"/>
          </rPr>
          <t>In Deutschland System 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Stibitz, Christian</author>
  </authors>
  <commentList>
    <comment ref="H8" authorId="0" shapeId="0" xr:uid="{00000000-0006-0000-0200-000001000000}">
      <text>
        <r>
          <rPr>
            <b/>
            <sz val="11"/>
            <color indexed="81"/>
            <rFont val="Segoe UI"/>
            <family val="2"/>
          </rPr>
          <t xml:space="preserve">Bei Abwasser mit Fäkalien bis DN 65 Pumpen mit Schneidrad verwednen, ab DN80 Pumpen mit Freistromlaufrad verwenden </t>
        </r>
        <r>
          <rPr>
            <sz val="11"/>
            <color indexed="81"/>
            <rFont val="Segoe UI"/>
            <family val="2"/>
          </rPr>
          <t xml:space="preserve">
</t>
        </r>
      </text>
    </comment>
  </commentList>
</comments>
</file>

<file path=xl/sharedStrings.xml><?xml version="1.0" encoding="utf-8"?>
<sst xmlns="http://schemas.openxmlformats.org/spreadsheetml/2006/main" count="1197" uniqueCount="378">
  <si>
    <t>Projekt</t>
  </si>
  <si>
    <t>Ort</t>
  </si>
  <si>
    <t>Förderhöhenberechnung DIN EN12056-4 (01/2001)</t>
  </si>
  <si>
    <r>
      <t xml:space="preserve">Förderstrom Q </t>
    </r>
    <r>
      <rPr>
        <b/>
        <vertAlign val="subscript"/>
        <sz val="12"/>
        <color theme="1"/>
        <rFont val="Calibri"/>
        <family val="2"/>
        <scheme val="minor"/>
      </rPr>
      <t>tot</t>
    </r>
    <r>
      <rPr>
        <b/>
        <sz val="12"/>
        <color theme="1"/>
        <rFont val="Calibri"/>
        <family val="2"/>
        <scheme val="minor"/>
      </rPr>
      <t xml:space="preserve"> [m</t>
    </r>
    <r>
      <rPr>
        <b/>
        <vertAlign val="superscript"/>
        <sz val="12"/>
        <color theme="1"/>
        <rFont val="Calibri"/>
        <family val="2"/>
        <scheme val="minor"/>
      </rPr>
      <t>3</t>
    </r>
    <r>
      <rPr>
        <b/>
        <sz val="12"/>
        <color theme="1"/>
        <rFont val="Calibri"/>
        <family val="2"/>
        <scheme val="minor"/>
      </rPr>
      <t>/h]</t>
    </r>
  </si>
  <si>
    <t>Fließgeschwindigkeit [m/s]</t>
  </si>
  <si>
    <t>Rohrleitungswerkstoff wählen</t>
  </si>
  <si>
    <t>Nennweite 
[mm]</t>
  </si>
  <si>
    <t>Rohrwerkstoff</t>
  </si>
  <si>
    <t>Außen-Durchmesser
[mm]</t>
  </si>
  <si>
    <t xml:space="preserve">Wanddicke [mm]  </t>
  </si>
  <si>
    <t>Innen-Durchmesser [mm]</t>
  </si>
  <si>
    <t>Wasserinhalt  I
[I/m]</t>
  </si>
  <si>
    <t>Rohrrauheit-Koeffizient k</t>
  </si>
  <si>
    <r>
      <t>Querschnitt [m</t>
    </r>
    <r>
      <rPr>
        <vertAlign val="superscript"/>
        <sz val="11"/>
        <color theme="1"/>
        <rFont val="Calibri"/>
        <family val="2"/>
        <scheme val="minor"/>
      </rPr>
      <t>2</t>
    </r>
    <r>
      <rPr>
        <sz val="11"/>
        <color theme="1"/>
        <rFont val="Calibri"/>
        <family val="2"/>
        <scheme val="minor"/>
      </rPr>
      <t>]</t>
    </r>
  </si>
  <si>
    <r>
      <t>k</t>
    </r>
    <r>
      <rPr>
        <vertAlign val="subscript"/>
        <sz val="11"/>
        <color theme="1"/>
        <rFont val="Calibri"/>
        <family val="2"/>
        <scheme val="minor"/>
      </rPr>
      <t>b</t>
    </r>
    <r>
      <rPr>
        <sz val="11"/>
        <color theme="1"/>
        <rFont val="Calibri"/>
        <family val="2"/>
        <scheme val="minor"/>
      </rPr>
      <t xml:space="preserve"> bei Abwasser 0,25</t>
    </r>
  </si>
  <si>
    <t>DN10</t>
  </si>
  <si>
    <t>PVC-U</t>
  </si>
  <si>
    <t>DN15</t>
  </si>
  <si>
    <t>DN20</t>
  </si>
  <si>
    <t>DN25</t>
  </si>
  <si>
    <t>DN32</t>
  </si>
  <si>
    <t>DN40</t>
  </si>
  <si>
    <t>DN50</t>
  </si>
  <si>
    <t>DN65</t>
  </si>
  <si>
    <t>DN80</t>
  </si>
  <si>
    <t>DN100</t>
  </si>
  <si>
    <t>DN125</t>
  </si>
  <si>
    <t>DN150</t>
  </si>
  <si>
    <t>DN200</t>
  </si>
  <si>
    <t>DN250</t>
  </si>
  <si>
    <t>DN315</t>
  </si>
  <si>
    <t>PE-HD</t>
  </si>
  <si>
    <t>DN300</t>
  </si>
  <si>
    <t>DN350</t>
  </si>
  <si>
    <t>DN400</t>
  </si>
  <si>
    <t>Abflussrohr SML DIN 19522</t>
  </si>
  <si>
    <t>Grauguss</t>
  </si>
  <si>
    <t>DN70</t>
  </si>
  <si>
    <t>DN500</t>
  </si>
  <si>
    <t>DN600</t>
  </si>
  <si>
    <t>Stahl (geschw.)</t>
  </si>
  <si>
    <t>Edelstahl nach DIN EN 10312</t>
  </si>
  <si>
    <t>Edelstahl</t>
  </si>
  <si>
    <t>Spalte1</t>
  </si>
  <si>
    <t>Berechnung nach DIN EN 12056-4 (01/2001); DIN EN 12056-2 (01/2001)</t>
  </si>
  <si>
    <r>
      <t>Q</t>
    </r>
    <r>
      <rPr>
        <b/>
        <vertAlign val="subscript"/>
        <sz val="12"/>
        <color theme="1"/>
        <rFont val="Calibri"/>
        <family val="2"/>
        <scheme val="minor"/>
      </rPr>
      <t xml:space="preserve">tot </t>
    </r>
    <r>
      <rPr>
        <b/>
        <sz val="12"/>
        <color theme="1"/>
        <rFont val="Calibri"/>
        <family val="2"/>
        <scheme val="minor"/>
      </rPr>
      <t>[l/s]</t>
    </r>
  </si>
  <si>
    <t>Gesamtschmutzwasserabfluß</t>
  </si>
  <si>
    <r>
      <t>Q</t>
    </r>
    <r>
      <rPr>
        <b/>
        <vertAlign val="subscript"/>
        <sz val="12"/>
        <color theme="1"/>
        <rFont val="Calibri"/>
        <family val="2"/>
        <scheme val="minor"/>
      </rPr>
      <t xml:space="preserve">WW </t>
    </r>
    <r>
      <rPr>
        <b/>
        <sz val="12"/>
        <color theme="1"/>
        <rFont val="Calibri"/>
        <family val="2"/>
        <scheme val="minor"/>
      </rPr>
      <t>[l/s]</t>
    </r>
  </si>
  <si>
    <t xml:space="preserve">Schmutzwasserbafluß </t>
  </si>
  <si>
    <r>
      <t>Q</t>
    </r>
    <r>
      <rPr>
        <b/>
        <vertAlign val="subscript"/>
        <sz val="12"/>
        <color theme="1"/>
        <rFont val="Calibri"/>
        <family val="2"/>
        <scheme val="minor"/>
      </rPr>
      <t xml:space="preserve">C </t>
    </r>
    <r>
      <rPr>
        <b/>
        <sz val="12"/>
        <color theme="1"/>
        <rFont val="Calibri"/>
        <family val="2"/>
        <scheme val="minor"/>
      </rPr>
      <t>[l/s]</t>
    </r>
  </si>
  <si>
    <t>Dauerabfluß</t>
  </si>
  <si>
    <r>
      <t>Q</t>
    </r>
    <r>
      <rPr>
        <b/>
        <vertAlign val="subscript"/>
        <sz val="12"/>
        <color theme="1"/>
        <rFont val="Calibri"/>
        <family val="2"/>
        <scheme val="minor"/>
      </rPr>
      <t xml:space="preserve">P </t>
    </r>
    <r>
      <rPr>
        <b/>
        <sz val="12"/>
        <color theme="1"/>
        <rFont val="Calibri"/>
        <family val="2"/>
        <scheme val="minor"/>
      </rPr>
      <t>[l/s]</t>
    </r>
  </si>
  <si>
    <t>Pumpenförderstrom</t>
  </si>
  <si>
    <t>Entwässerungsgegenstand System I DIN EN 12056-2</t>
  </si>
  <si>
    <t>Anzahl</t>
  </si>
  <si>
    <t>DU [l/s]</t>
  </si>
  <si>
    <t>Summe [l/s]</t>
  </si>
  <si>
    <t>DN 40</t>
  </si>
  <si>
    <t>DN 50</t>
  </si>
  <si>
    <t>DN 56/60</t>
  </si>
  <si>
    <t>DN 80/90</t>
  </si>
  <si>
    <t>DN 80 /     DN 100</t>
  </si>
  <si>
    <t>WC mit 7,5 l Spülkasten/Druckspüler 2,0 siehe Anmerkung</t>
  </si>
  <si>
    <t>Siehe Anmerkung</t>
  </si>
  <si>
    <t>DN 100</t>
  </si>
  <si>
    <t>DN 70</t>
  </si>
  <si>
    <t>Summe</t>
  </si>
  <si>
    <t>[l/s]</t>
  </si>
  <si>
    <t>Gebäudeart und Benutzung auswählen</t>
  </si>
  <si>
    <t>K</t>
  </si>
  <si>
    <t>Regelmäßige Benutzung, z. B. in Krankenhäusern, Schulen, Restaurants, Hotels</t>
  </si>
  <si>
    <r>
      <t>Q</t>
    </r>
    <r>
      <rPr>
        <b/>
        <vertAlign val="subscript"/>
        <sz val="11"/>
        <color theme="1"/>
        <rFont val="Calibri"/>
        <family val="2"/>
        <scheme val="minor"/>
      </rPr>
      <t>WW</t>
    </r>
  </si>
  <si>
    <r>
      <t>Ist der Wert des berechneten Schmutzwasserabflusses Q</t>
    </r>
    <r>
      <rPr>
        <vertAlign val="subscript"/>
        <sz val="12"/>
        <color rgb="FFFF0000"/>
        <rFont val="Calibri"/>
        <family val="2"/>
        <scheme val="minor"/>
      </rPr>
      <t>ww</t>
    </r>
    <r>
      <rPr>
        <sz val="12"/>
        <color rgb="FFFF0000"/>
        <rFont val="Calibri"/>
        <family val="2"/>
        <scheme val="minor"/>
      </rPr>
      <t xml:space="preserve"> geringer als der Anschlusswert DU des größten angeschlossenen Einzelentwässerungsgegenstandes, so gilt dessen DU Wert.</t>
    </r>
  </si>
  <si>
    <t>Anschlusswert des größten Entwässerungsgegenstandes</t>
  </si>
  <si>
    <r>
      <t>Q</t>
    </r>
    <r>
      <rPr>
        <b/>
        <vertAlign val="subscript"/>
        <sz val="11"/>
        <color theme="1"/>
        <rFont val="Calibri"/>
        <family val="2"/>
        <scheme val="minor"/>
      </rPr>
      <t>DU</t>
    </r>
  </si>
  <si>
    <t>z.B. Kondensat aus Brennwertfeuerstätten; Dampkesselanlagen; Kälteanlagen</t>
  </si>
  <si>
    <t>Ölbrennwert in</t>
  </si>
  <si>
    <t xml:space="preserve"> [kW]</t>
  </si>
  <si>
    <r>
      <t>Q</t>
    </r>
    <r>
      <rPr>
        <b/>
        <vertAlign val="subscript"/>
        <sz val="12"/>
        <color theme="1"/>
        <rFont val="Calibri"/>
        <family val="2"/>
        <scheme val="minor"/>
      </rPr>
      <t xml:space="preserve">CB,Öl </t>
    </r>
  </si>
  <si>
    <t xml:space="preserve">Gasbrennwert in </t>
  </si>
  <si>
    <r>
      <t>Q</t>
    </r>
    <r>
      <rPr>
        <b/>
        <vertAlign val="subscript"/>
        <sz val="12"/>
        <color theme="1"/>
        <rFont val="Calibri"/>
        <family val="2"/>
        <scheme val="minor"/>
      </rPr>
      <t xml:space="preserve">CB,Gas </t>
    </r>
  </si>
  <si>
    <t xml:space="preserve">Länge der Drainage in [m] </t>
  </si>
  <si>
    <r>
      <t>Q</t>
    </r>
    <r>
      <rPr>
        <b/>
        <vertAlign val="subscript"/>
        <sz val="12"/>
        <color theme="1"/>
        <rFont val="Calibri"/>
        <family val="2"/>
        <scheme val="minor"/>
      </rPr>
      <t xml:space="preserve">CDrainage </t>
    </r>
  </si>
  <si>
    <t>Liter pro m länge</t>
  </si>
  <si>
    <t>[l/m*h]</t>
  </si>
  <si>
    <t>20 [l/m*h] Erfahrungswert</t>
  </si>
  <si>
    <t>Kondensat 1</t>
  </si>
  <si>
    <r>
      <t>Q</t>
    </r>
    <r>
      <rPr>
        <b/>
        <vertAlign val="subscript"/>
        <sz val="12"/>
        <color theme="1"/>
        <rFont val="Calibri"/>
        <family val="2"/>
        <scheme val="minor"/>
      </rPr>
      <t>C1</t>
    </r>
  </si>
  <si>
    <t>Leichtflüssig-keitsabscheid.</t>
  </si>
  <si>
    <r>
      <t>Q</t>
    </r>
    <r>
      <rPr>
        <b/>
        <vertAlign val="subscript"/>
        <sz val="12"/>
        <color theme="1"/>
        <rFont val="Calibri"/>
        <family val="2"/>
        <scheme val="minor"/>
      </rPr>
      <t>C2</t>
    </r>
  </si>
  <si>
    <t>Fettabscheider</t>
  </si>
  <si>
    <r>
      <t>Q</t>
    </r>
    <r>
      <rPr>
        <b/>
        <vertAlign val="subscript"/>
        <sz val="12"/>
        <color theme="1"/>
        <rFont val="Calibri"/>
        <family val="2"/>
        <scheme val="minor"/>
      </rPr>
      <t>C3</t>
    </r>
  </si>
  <si>
    <r>
      <rPr>
        <b/>
        <vertAlign val="subscript"/>
        <sz val="12"/>
        <color theme="1"/>
        <rFont val="Calibri"/>
        <family val="2"/>
        <scheme val="minor"/>
      </rPr>
      <t xml:space="preserve"> </t>
    </r>
    <r>
      <rPr>
        <b/>
        <sz val="12"/>
        <color theme="1"/>
        <rFont val="Calibri"/>
        <family val="2"/>
        <scheme val="minor"/>
      </rPr>
      <t>[l/s]</t>
    </r>
  </si>
  <si>
    <t>aus anderen Hebeanlagen</t>
  </si>
  <si>
    <t>Pumpe 1</t>
  </si>
  <si>
    <r>
      <t>Q</t>
    </r>
    <r>
      <rPr>
        <b/>
        <vertAlign val="subscript"/>
        <sz val="12"/>
        <color theme="1"/>
        <rFont val="Calibri"/>
        <family val="2"/>
        <scheme val="minor"/>
      </rPr>
      <t>P1</t>
    </r>
  </si>
  <si>
    <t>Pumpe 2</t>
  </si>
  <si>
    <r>
      <t>Q</t>
    </r>
    <r>
      <rPr>
        <b/>
        <vertAlign val="subscript"/>
        <sz val="12"/>
        <color theme="1"/>
        <rFont val="Calibri"/>
        <family val="2"/>
        <scheme val="minor"/>
      </rPr>
      <t>P2</t>
    </r>
  </si>
  <si>
    <t>Pumpe 3</t>
  </si>
  <si>
    <r>
      <t>Q</t>
    </r>
    <r>
      <rPr>
        <b/>
        <vertAlign val="subscript"/>
        <sz val="12"/>
        <color theme="1"/>
        <rFont val="Calibri"/>
        <family val="2"/>
        <scheme val="minor"/>
      </rPr>
      <t>P3</t>
    </r>
  </si>
  <si>
    <r>
      <t>[m</t>
    </r>
    <r>
      <rPr>
        <b/>
        <vertAlign val="superscript"/>
        <sz val="12"/>
        <color theme="1"/>
        <rFont val="Calibri"/>
        <family val="2"/>
        <scheme val="minor"/>
      </rPr>
      <t>3</t>
    </r>
    <r>
      <rPr>
        <b/>
        <sz val="12"/>
        <color theme="1"/>
        <rFont val="Calibri"/>
        <family val="2"/>
        <scheme val="minor"/>
      </rPr>
      <t>/h]</t>
    </r>
  </si>
  <si>
    <t>Stoffdaten Wasser</t>
  </si>
  <si>
    <t>t[°C]</t>
  </si>
  <si>
    <r>
      <t>kg/m</t>
    </r>
    <r>
      <rPr>
        <vertAlign val="superscript"/>
        <sz val="11"/>
        <color theme="1"/>
        <rFont val="Calibri"/>
        <family val="2"/>
        <scheme val="minor"/>
      </rPr>
      <t>3</t>
    </r>
  </si>
  <si>
    <r>
      <t>m</t>
    </r>
    <r>
      <rPr>
        <vertAlign val="superscript"/>
        <sz val="11"/>
        <color theme="1"/>
        <rFont val="Calibri"/>
        <family val="2"/>
        <scheme val="minor"/>
      </rPr>
      <t>2</t>
    </r>
    <r>
      <rPr>
        <sz val="11"/>
        <color theme="1"/>
        <rFont val="Calibri"/>
        <family val="2"/>
        <scheme val="minor"/>
      </rPr>
      <t>/s</t>
    </r>
  </si>
  <si>
    <r>
      <t>mm</t>
    </r>
    <r>
      <rPr>
        <vertAlign val="superscript"/>
        <sz val="11"/>
        <color theme="1"/>
        <rFont val="Calibri"/>
        <family val="2"/>
        <scheme val="minor"/>
      </rPr>
      <t>2</t>
    </r>
    <r>
      <rPr>
        <sz val="11"/>
        <color theme="1"/>
        <rFont val="Calibri"/>
        <family val="2"/>
        <scheme val="minor"/>
      </rPr>
      <t>/s</t>
    </r>
  </si>
  <si>
    <t>Nennweiten</t>
  </si>
  <si>
    <t>Unregelmäßige Benutzung, z. B. in Wohnhäusern, Altersheimen, Pensionen, Büros</t>
  </si>
  <si>
    <t>Häufige Benutzung, z. B. in öffentlichen Toiletten und/oder Duschen</t>
  </si>
  <si>
    <t>Spezielle Benutzung , z.B. Labor</t>
  </si>
  <si>
    <t>Gebädeart und Nutzung</t>
  </si>
  <si>
    <t>Pumpenkennlinien Fäkalienhebeanlagen</t>
  </si>
  <si>
    <t>U1</t>
  </si>
  <si>
    <t>UZ1</t>
  </si>
  <si>
    <t>Q</t>
  </si>
  <si>
    <t>H</t>
  </si>
  <si>
    <t>P</t>
  </si>
  <si>
    <t>a4</t>
  </si>
  <si>
    <t>a3</t>
  </si>
  <si>
    <t>a2</t>
  </si>
  <si>
    <t>a1</t>
  </si>
  <si>
    <t>b</t>
  </si>
  <si>
    <t>U2</t>
  </si>
  <si>
    <t>UZ2</t>
  </si>
  <si>
    <t>US1</t>
  </si>
  <si>
    <t>US2</t>
  </si>
  <si>
    <t>U3</t>
  </si>
  <si>
    <t>UZ3</t>
  </si>
  <si>
    <t>U4</t>
  </si>
  <si>
    <t>UZ4</t>
  </si>
  <si>
    <t>U5</t>
  </si>
  <si>
    <t>UZ5</t>
  </si>
  <si>
    <t>UZ10</t>
  </si>
  <si>
    <t>UZ11</t>
  </si>
  <si>
    <t>UZ12</t>
  </si>
  <si>
    <t>UZ13</t>
  </si>
  <si>
    <t>Kennlinie gekürzt wie im Katalog</t>
  </si>
  <si>
    <t>UZ14</t>
  </si>
  <si>
    <t>UZ15</t>
  </si>
  <si>
    <t>Q2</t>
  </si>
  <si>
    <t>H3</t>
  </si>
  <si>
    <t>Nennweite wählen</t>
  </si>
  <si>
    <r>
      <t>Innendurchmesser d</t>
    </r>
    <r>
      <rPr>
        <b/>
        <vertAlign val="subscript"/>
        <sz val="12"/>
        <color theme="1"/>
        <rFont val="Calibri"/>
        <family val="2"/>
        <scheme val="minor"/>
      </rPr>
      <t>i</t>
    </r>
    <r>
      <rPr>
        <b/>
        <sz val="12"/>
        <color theme="1"/>
        <rFont val="Calibri"/>
        <family val="2"/>
        <scheme val="minor"/>
      </rPr>
      <t xml:space="preserve"> [mm]</t>
    </r>
  </si>
  <si>
    <r>
      <t>H</t>
    </r>
    <r>
      <rPr>
        <b/>
        <vertAlign val="subscript"/>
        <sz val="12"/>
        <color theme="1"/>
        <rFont val="Calibri"/>
        <family val="2"/>
        <scheme val="minor"/>
      </rPr>
      <t xml:space="preserve">tot </t>
    </r>
  </si>
  <si>
    <t>Benötigte Förderhöhe in [m]</t>
  </si>
  <si>
    <r>
      <t>H</t>
    </r>
    <r>
      <rPr>
        <b/>
        <vertAlign val="subscript"/>
        <sz val="12"/>
        <color theme="1"/>
        <rFont val="Calibri"/>
        <family val="2"/>
        <scheme val="minor"/>
      </rPr>
      <t>V,R</t>
    </r>
  </si>
  <si>
    <t>Druckhöhenverluste der Rohrleitung [m]</t>
  </si>
  <si>
    <r>
      <t>H</t>
    </r>
    <r>
      <rPr>
        <b/>
        <vertAlign val="subscript"/>
        <sz val="12"/>
        <color theme="1"/>
        <rFont val="Calibri"/>
        <family val="2"/>
        <scheme val="minor"/>
      </rPr>
      <t>V,A</t>
    </r>
  </si>
  <si>
    <t>Druckhöhenverluste der Armaturen und Einbauteilen [m]</t>
  </si>
  <si>
    <r>
      <t>H</t>
    </r>
    <r>
      <rPr>
        <b/>
        <vertAlign val="subscript"/>
        <sz val="12"/>
        <color theme="1"/>
        <rFont val="Calibri"/>
        <family val="2"/>
        <scheme val="minor"/>
      </rPr>
      <t>geo</t>
    </r>
  </si>
  <si>
    <t>Geodätischer Höhenunterschied [m]</t>
  </si>
  <si>
    <t>λ</t>
  </si>
  <si>
    <t>Lamda; Rohrreibungsbeiwert</t>
  </si>
  <si>
    <t>ζ</t>
  </si>
  <si>
    <t>Zeta; Verlustbeiwert</t>
  </si>
  <si>
    <t>v</t>
  </si>
  <si>
    <t>d</t>
  </si>
  <si>
    <t>Innendurchmesser in [m]</t>
  </si>
  <si>
    <t>l</t>
  </si>
  <si>
    <t>Länge der Rohrleitung [m]</t>
  </si>
  <si>
    <t>g</t>
  </si>
  <si>
    <r>
      <t>Erdbeschleunigung 9,81 [m/s</t>
    </r>
    <r>
      <rPr>
        <b/>
        <vertAlign val="superscript"/>
        <sz val="12"/>
        <color theme="1"/>
        <rFont val="Calibri"/>
        <family val="2"/>
        <scheme val="minor"/>
      </rPr>
      <t>2</t>
    </r>
    <r>
      <rPr>
        <b/>
        <sz val="12"/>
        <color theme="1"/>
        <rFont val="Calibri"/>
        <family val="2"/>
        <scheme val="minor"/>
      </rPr>
      <t>]</t>
    </r>
  </si>
  <si>
    <r>
      <t>k</t>
    </r>
    <r>
      <rPr>
        <b/>
        <vertAlign val="subscript"/>
        <sz val="12"/>
        <color theme="1"/>
        <rFont val="Calibri"/>
        <family val="2"/>
        <scheme val="minor"/>
      </rPr>
      <t>B</t>
    </r>
  </si>
  <si>
    <t>Rohrrauigkeit [mm]</t>
  </si>
  <si>
    <t>Länge der Druckleitung bis zur Rückstauschleife [m]</t>
  </si>
  <si>
    <t>Druckverlust der Rohrleitung</t>
  </si>
  <si>
    <r>
      <t>H</t>
    </r>
    <r>
      <rPr>
        <b/>
        <vertAlign val="subscript"/>
        <sz val="12"/>
        <color theme="1"/>
        <rFont val="Calibri"/>
        <family val="2"/>
        <scheme val="minor"/>
      </rPr>
      <t>V,R</t>
    </r>
    <r>
      <rPr>
        <b/>
        <sz val="12"/>
        <color theme="1"/>
        <rFont val="Calibri"/>
        <family val="2"/>
        <scheme val="minor"/>
      </rPr>
      <t>[m]</t>
    </r>
  </si>
  <si>
    <t>Druckverlust der Armaturen und Formteile</t>
  </si>
  <si>
    <t>Art des Einzelwiderstandes</t>
  </si>
  <si>
    <t>Σζ</t>
  </si>
  <si>
    <r>
      <t>H</t>
    </r>
    <r>
      <rPr>
        <b/>
        <vertAlign val="subscript"/>
        <sz val="12"/>
        <color theme="1"/>
        <rFont val="Calibri"/>
        <family val="2"/>
        <scheme val="minor"/>
      </rPr>
      <t>V,A</t>
    </r>
    <r>
      <rPr>
        <b/>
        <sz val="12"/>
        <color theme="1"/>
        <rFont val="Calibri"/>
        <family val="2"/>
        <scheme val="minor"/>
      </rPr>
      <t>[m]</t>
    </r>
  </si>
  <si>
    <r>
      <t>Absperrschieber</t>
    </r>
    <r>
      <rPr>
        <b/>
        <vertAlign val="superscript"/>
        <sz val="12"/>
        <color theme="1"/>
        <rFont val="Calibri"/>
        <family val="2"/>
        <scheme val="minor"/>
      </rPr>
      <t>1</t>
    </r>
  </si>
  <si>
    <r>
      <t>Rückflussverhinderer</t>
    </r>
    <r>
      <rPr>
        <b/>
        <vertAlign val="superscript"/>
        <sz val="12"/>
        <color theme="1"/>
        <rFont val="Calibri"/>
        <family val="2"/>
        <scheme val="minor"/>
      </rPr>
      <t>1</t>
    </r>
  </si>
  <si>
    <t>Bogen 90°</t>
  </si>
  <si>
    <t>Bogen 45°</t>
  </si>
  <si>
    <t>Freier Auslauf</t>
  </si>
  <si>
    <t>T-Stück 45° Durchgang bei Stromvereinigung</t>
  </si>
  <si>
    <t>T-Stück 90° Durchgang bei Stromvereinigung</t>
  </si>
  <si>
    <t>T-Stück 45° Abzweig bei Stromvereinigung</t>
  </si>
  <si>
    <t>T-Stück 90° Abzweig bei Stromvereinigung</t>
  </si>
  <si>
    <t>T-Stück 90 Gegenlauf</t>
  </si>
  <si>
    <t>Querschnittserweiterung</t>
  </si>
  <si>
    <r>
      <rPr>
        <b/>
        <vertAlign val="superscript"/>
        <sz val="12"/>
        <color theme="1"/>
        <rFont val="Calibri"/>
        <family val="2"/>
        <scheme val="minor"/>
      </rPr>
      <t>1</t>
    </r>
    <r>
      <rPr>
        <b/>
        <sz val="12"/>
        <color theme="1"/>
        <rFont val="Calibri"/>
        <family val="2"/>
        <scheme val="minor"/>
      </rPr>
      <t>Es sollten Herstellerangaben verwendet werden</t>
    </r>
  </si>
  <si>
    <r>
      <t>ΣH</t>
    </r>
    <r>
      <rPr>
        <b/>
        <vertAlign val="subscript"/>
        <sz val="12"/>
        <color theme="1"/>
        <rFont val="Calibri"/>
        <family val="2"/>
      </rPr>
      <t>V,A</t>
    </r>
    <r>
      <rPr>
        <b/>
        <sz val="12"/>
        <color theme="1"/>
        <rFont val="Calibri"/>
        <family val="2"/>
      </rPr>
      <t>[m]</t>
    </r>
  </si>
  <si>
    <t>Dynamische Druckverluste</t>
  </si>
  <si>
    <r>
      <t>H</t>
    </r>
    <r>
      <rPr>
        <b/>
        <vertAlign val="subscript"/>
        <sz val="12"/>
        <color theme="1"/>
        <rFont val="Calibri"/>
        <family val="2"/>
        <scheme val="minor"/>
      </rPr>
      <t>V</t>
    </r>
    <r>
      <rPr>
        <b/>
        <sz val="12"/>
        <color theme="1"/>
        <rFont val="Calibri"/>
        <family val="2"/>
        <scheme val="minor"/>
      </rPr>
      <t xml:space="preserve"> [m]</t>
    </r>
  </si>
  <si>
    <t>Gesamtförderhöhe</t>
  </si>
  <si>
    <r>
      <t>H</t>
    </r>
    <r>
      <rPr>
        <b/>
        <vertAlign val="subscript"/>
        <sz val="12"/>
        <color theme="1"/>
        <rFont val="Calibri"/>
        <family val="2"/>
        <scheme val="minor"/>
      </rPr>
      <t>tot</t>
    </r>
    <r>
      <rPr>
        <b/>
        <sz val="12"/>
        <color theme="1"/>
        <rFont val="Calibri"/>
        <family val="2"/>
        <scheme val="minor"/>
      </rPr>
      <t>[m]</t>
    </r>
  </si>
  <si>
    <t xml:space="preserve">Anlagenkennlinie </t>
  </si>
  <si>
    <r>
      <t>Q</t>
    </r>
    <r>
      <rPr>
        <b/>
        <vertAlign val="subscript"/>
        <sz val="12"/>
        <color theme="1"/>
        <rFont val="Calibri"/>
        <family val="2"/>
        <scheme val="minor"/>
      </rPr>
      <t>Pumpe</t>
    </r>
    <r>
      <rPr>
        <b/>
        <sz val="12"/>
        <color theme="1"/>
        <rFont val="Calibri"/>
        <family val="2"/>
        <scheme val="minor"/>
      </rPr>
      <t>[m</t>
    </r>
    <r>
      <rPr>
        <b/>
        <vertAlign val="superscript"/>
        <sz val="12"/>
        <color theme="1"/>
        <rFont val="Calibri"/>
        <family val="2"/>
        <scheme val="minor"/>
      </rPr>
      <t>3</t>
    </r>
    <r>
      <rPr>
        <b/>
        <sz val="12"/>
        <color theme="1"/>
        <rFont val="Calibri"/>
        <family val="2"/>
        <scheme val="minor"/>
      </rPr>
      <t>/h]</t>
    </r>
  </si>
  <si>
    <t>Pumpenanzahl auswählen</t>
  </si>
  <si>
    <r>
      <t>Maximale Schalthäufighkeit der Hydraulik [h</t>
    </r>
    <r>
      <rPr>
        <b/>
        <vertAlign val="superscript"/>
        <sz val="12"/>
        <color theme="1"/>
        <rFont val="Calibri"/>
        <family val="2"/>
        <scheme val="minor"/>
      </rPr>
      <t>-1</t>
    </r>
    <r>
      <rPr>
        <b/>
        <sz val="12"/>
        <color theme="1"/>
        <rFont val="Calibri"/>
        <family val="2"/>
        <scheme val="minor"/>
      </rPr>
      <t>]</t>
    </r>
  </si>
  <si>
    <r>
      <t>Benötigtes Nutzvolumen der Hebeanlage zum Austausch des Rohrleitungsinhaltes der Druckleitung [l]</t>
    </r>
    <r>
      <rPr>
        <b/>
        <sz val="12"/>
        <color rgb="FFFF0000"/>
        <rFont val="Calibri"/>
        <family val="2"/>
        <scheme val="minor"/>
      </rPr>
      <t>*</t>
    </r>
  </si>
  <si>
    <r>
      <t>Bei Verwendung der Hydraulik U10 bis U15 muss das Verhältnis  Q</t>
    </r>
    <r>
      <rPr>
        <b/>
        <vertAlign val="subscript"/>
        <sz val="12"/>
        <color theme="1"/>
        <rFont val="Calibri"/>
        <family val="2"/>
        <scheme val="minor"/>
      </rPr>
      <t>tot</t>
    </r>
    <r>
      <rPr>
        <b/>
        <sz val="12"/>
        <color theme="1"/>
        <rFont val="Calibri"/>
        <family val="2"/>
        <scheme val="minor"/>
      </rPr>
      <t>/Q</t>
    </r>
    <r>
      <rPr>
        <b/>
        <vertAlign val="subscript"/>
        <sz val="12"/>
        <color theme="1"/>
        <rFont val="Calibri"/>
        <family val="2"/>
        <scheme val="minor"/>
      </rPr>
      <t>Pumpe</t>
    </r>
    <r>
      <rPr>
        <b/>
        <sz val="12"/>
        <color theme="1"/>
        <rFont val="Calibri"/>
        <family val="2"/>
        <scheme val="minor"/>
      </rPr>
      <t xml:space="preserve"> &lt; 0,9 sein</t>
    </r>
  </si>
  <si>
    <t>*Bei Zuläufen über einen längeren Zeitraum (z. B. bei Regenwasser), muss die Schalthäufigkeit und das Hebeanlagen- Schaltvolumen speziell überprüft und für die Behälterauswahl noch die gegebenen/ geplanten Zulaufhöhen berücksichtigt werden!</t>
  </si>
  <si>
    <t>Pumpenbezeichnung</t>
  </si>
  <si>
    <t>Nutzvolumen in [l] abhänig von der Anschlusshöhe Zulaufmitte in [mm]</t>
  </si>
  <si>
    <t>Leistung</t>
  </si>
  <si>
    <t>180mm</t>
  </si>
  <si>
    <t>250mm</t>
  </si>
  <si>
    <t>320mm</t>
  </si>
  <si>
    <t>700mm</t>
  </si>
  <si>
    <t>vertikal</t>
  </si>
  <si>
    <t>[kW]</t>
  </si>
  <si>
    <t>Re</t>
  </si>
  <si>
    <t>Q [m3/h]</t>
  </si>
  <si>
    <t>Htot [m]</t>
  </si>
  <si>
    <t>Hgeo [m]</t>
  </si>
  <si>
    <t>HV [m]</t>
  </si>
  <si>
    <t>v [m/s]</t>
  </si>
  <si>
    <t>d [m]</t>
  </si>
  <si>
    <t/>
  </si>
  <si>
    <t>Formel 1</t>
  </si>
  <si>
    <t>Formel 2</t>
  </si>
  <si>
    <t>Kennlinie Fähaleinhebeanlage</t>
  </si>
  <si>
    <t>Iterationstabelle Lamda</t>
  </si>
  <si>
    <t>Lambda</t>
  </si>
  <si>
    <t>Differenz</t>
  </si>
  <si>
    <t>Htot</t>
  </si>
  <si>
    <t>Pumpenanzahl</t>
  </si>
  <si>
    <t>Schalthäufigkeit</t>
  </si>
  <si>
    <t>Kunststoff PE-HD DIN 8077 PN16</t>
  </si>
  <si>
    <t>Kunststoff PE-HD DIN 8077 PN10</t>
  </si>
  <si>
    <r>
      <t>Außendurchmesser d</t>
    </r>
    <r>
      <rPr>
        <b/>
        <vertAlign val="subscript"/>
        <sz val="12"/>
        <color theme="1"/>
        <rFont val="Calibri"/>
        <family val="2"/>
        <scheme val="minor"/>
      </rPr>
      <t>a</t>
    </r>
    <r>
      <rPr>
        <b/>
        <sz val="12"/>
        <color theme="1"/>
        <rFont val="Calibri"/>
        <family val="2"/>
        <scheme val="minor"/>
      </rPr>
      <t xml:space="preserve"> [mm]</t>
    </r>
  </si>
  <si>
    <t>0,7 - 2,3</t>
  </si>
  <si>
    <t>Druckverlust der Armaturen und Einbauteilen</t>
  </si>
  <si>
    <t xml:space="preserve">Geodätische Höhe </t>
  </si>
  <si>
    <r>
      <t>H</t>
    </r>
    <r>
      <rPr>
        <b/>
        <vertAlign val="subscript"/>
        <sz val="12"/>
        <color theme="1"/>
        <rFont val="Calibri"/>
        <family val="2"/>
        <scheme val="minor"/>
      </rPr>
      <t>geo</t>
    </r>
    <r>
      <rPr>
        <b/>
        <sz val="12"/>
        <color theme="1"/>
        <rFont val="Calibri"/>
        <family val="2"/>
        <scheme val="minor"/>
      </rPr>
      <t xml:space="preserve"> [m]</t>
    </r>
  </si>
  <si>
    <t>Pumpen</t>
  </si>
  <si>
    <t>Hydraulik</t>
  </si>
  <si>
    <t>Behälter</t>
  </si>
  <si>
    <t>Nutzvolumen in [l] bei Anschlußhöhe mitte Zulauf in [mm]</t>
  </si>
  <si>
    <t>Nennleistung</t>
  </si>
  <si>
    <t>https://www.youtube.com/watch?v=ynuNqJ05ldM</t>
  </si>
  <si>
    <t>kW</t>
  </si>
  <si>
    <r>
      <t>h</t>
    </r>
    <r>
      <rPr>
        <vertAlign val="superscript"/>
        <sz val="11"/>
        <color theme="1"/>
        <rFont val="Calibri"/>
        <family val="2"/>
        <scheme val="minor"/>
      </rPr>
      <t>-1</t>
    </r>
  </si>
  <si>
    <t>Spalte2</t>
  </si>
  <si>
    <t>Spalte3</t>
  </si>
  <si>
    <t>Spalte4</t>
  </si>
  <si>
    <t>Spalte5</t>
  </si>
  <si>
    <t>Spalte6</t>
  </si>
  <si>
    <t>Spalte7</t>
  </si>
  <si>
    <t>Spalte8</t>
  </si>
  <si>
    <t>Spalte9</t>
  </si>
  <si>
    <t>Spalte10</t>
  </si>
  <si>
    <t>Spalte11</t>
  </si>
  <si>
    <t>.40</t>
  </si>
  <si>
    <t>-</t>
  </si>
  <si>
    <t>.60</t>
  </si>
  <si>
    <t>Treffer</t>
  </si>
  <si>
    <t>.100</t>
  </si>
  <si>
    <t>Zeilenfindung</t>
  </si>
  <si>
    <t>U10</t>
  </si>
  <si>
    <t>.300</t>
  </si>
  <si>
    <t>U11</t>
  </si>
  <si>
    <t>U12</t>
  </si>
  <si>
    <t>U13</t>
  </si>
  <si>
    <t>U14</t>
  </si>
  <si>
    <t>U15</t>
  </si>
  <si>
    <t>.150</t>
  </si>
  <si>
    <t>UZS1</t>
  </si>
  <si>
    <t>UZS2</t>
  </si>
  <si>
    <t>.450</t>
  </si>
  <si>
    <t>.900</t>
  </si>
  <si>
    <t>Diagramme erstellen Excel mit Funktionen</t>
  </si>
  <si>
    <t>Betriebspunkt</t>
  </si>
  <si>
    <t>Druckverlust in Meter pro Meter Rohrleitung [m/m]</t>
  </si>
  <si>
    <r>
      <t>Fläche [m</t>
    </r>
    <r>
      <rPr>
        <vertAlign val="superscript"/>
        <sz val="11"/>
        <rFont val="Calibri"/>
        <family val="2"/>
        <scheme val="minor"/>
      </rPr>
      <t>2</t>
    </r>
    <r>
      <rPr>
        <sz val="11"/>
        <rFont val="Calibri"/>
        <family val="2"/>
        <scheme val="minor"/>
      </rPr>
      <t>]</t>
    </r>
  </si>
  <si>
    <t>Inhalt [l/m]</t>
  </si>
  <si>
    <t>k/d Abwasser</t>
  </si>
  <si>
    <t xml:space="preserve">k/d </t>
  </si>
  <si>
    <t>Pumpenkennlinie</t>
  </si>
  <si>
    <t>Menge im tatsächlichen Betriebspunkt (Schnittpunkt) aus Diagramm eintragen</t>
  </si>
  <si>
    <t>Mindestfließgeschwindikeit  [m/s]</t>
  </si>
  <si>
    <t>Ø -</t>
  </si>
  <si>
    <t>Bauart -</t>
  </si>
  <si>
    <t>2 D</t>
  </si>
  <si>
    <t>3 D</t>
  </si>
  <si>
    <t>DN</t>
  </si>
  <si>
    <t>R</t>
  </si>
  <si>
    <t>Durchmesser</t>
  </si>
  <si>
    <t>Rohrbogenmaß</t>
  </si>
  <si>
    <t>Höhe Bogen 3*D [mm]</t>
  </si>
  <si>
    <t>2*x</t>
  </si>
  <si>
    <t>https://www.youtube.com/watch?v=uGpPJauKHeY&amp;ab_channel=AndreasGross</t>
  </si>
  <si>
    <t>Biegeradius</t>
  </si>
  <si>
    <t>E</t>
  </si>
  <si>
    <t>Z</t>
  </si>
  <si>
    <t>Z+E*0,5</t>
  </si>
  <si>
    <t>Stahlrohrbogen</t>
  </si>
  <si>
    <t xml:space="preserve">Graugussrohrbogen </t>
  </si>
  <si>
    <t>x</t>
  </si>
  <si>
    <t>SML</t>
  </si>
  <si>
    <t>DIN EN558 Reihe1 Schieber</t>
  </si>
  <si>
    <t>DIN EN558 Reihe1  Rückschlagklappe</t>
  </si>
  <si>
    <t>DIN EN 558</t>
  </si>
  <si>
    <t>Baulänge Armaturen Schieber&amp;Rück-schlagklappe [mm]</t>
  </si>
  <si>
    <t>Summe aus Bogen und Armaturen [mm]</t>
  </si>
  <si>
    <t>Gesamtlänge</t>
  </si>
  <si>
    <t>[mm]</t>
  </si>
  <si>
    <t>PE HD 100 DIN EN 12201-2 SDR17</t>
  </si>
  <si>
    <r>
      <rPr>
        <sz val="8.5"/>
        <rFont val="Arial"/>
        <family val="2"/>
      </rPr>
      <t>Entwasserungsgegenstand</t>
    </r>
  </si>
  <si>
    <r>
      <rPr>
        <sz val="8.5"/>
        <rFont val="Arial"/>
        <family val="2"/>
      </rPr>
      <t>System I</t>
    </r>
  </si>
  <si>
    <r>
      <rPr>
        <sz val="8.5"/>
        <rFont val="Arial"/>
        <family val="2"/>
      </rPr>
      <t>System II</t>
    </r>
  </si>
  <si>
    <r>
      <rPr>
        <sz val="8.5"/>
        <rFont val="Arial"/>
        <family val="2"/>
      </rPr>
      <t>System III</t>
    </r>
  </si>
  <si>
    <r>
      <rPr>
        <sz val="8.5"/>
        <rFont val="Arial"/>
        <family val="2"/>
      </rPr>
      <t>System IV</t>
    </r>
  </si>
  <si>
    <r>
      <rPr>
        <sz val="8.5"/>
        <rFont val="Arial"/>
        <family val="2"/>
      </rPr>
      <t xml:space="preserve">DU
</t>
    </r>
    <r>
      <rPr>
        <sz val="8.5"/>
        <rFont val="Arial"/>
        <family val="2"/>
      </rPr>
      <t>(Vs)</t>
    </r>
  </si>
  <si>
    <r>
      <rPr>
        <sz val="8.5"/>
        <rFont val="Arial"/>
        <family val="2"/>
      </rPr>
      <t>Waschbecken, Bidet</t>
    </r>
  </si>
  <si>
    <r>
      <rPr>
        <sz val="8.5"/>
        <rFont val="Arial"/>
        <family val="2"/>
      </rPr>
      <t>0,5</t>
    </r>
  </si>
  <si>
    <r>
      <rPr>
        <sz val="8.5"/>
        <rFont val="Arial"/>
        <family val="2"/>
      </rPr>
      <t>0,3</t>
    </r>
  </si>
  <si>
    <r>
      <rPr>
        <sz val="8.5"/>
        <rFont val="Arial"/>
        <family val="2"/>
      </rPr>
      <t>0,6</t>
    </r>
  </si>
  <si>
    <r>
      <rPr>
        <sz val="8.5"/>
        <rFont val="Arial"/>
        <family val="2"/>
      </rPr>
      <t>0,4</t>
    </r>
  </si>
  <si>
    <r>
      <rPr>
        <sz val="8.5"/>
        <rFont val="Arial"/>
        <family val="2"/>
      </rPr>
      <t>0,8</t>
    </r>
  </si>
  <si>
    <r>
      <rPr>
        <sz val="8.5"/>
        <rFont val="Arial"/>
        <family val="2"/>
      </rPr>
      <t>1,3</t>
    </r>
  </si>
  <si>
    <r>
      <rPr>
        <sz val="8.5"/>
        <rFont val="Arial"/>
        <family val="2"/>
      </rPr>
      <t>Standurinal</t>
    </r>
  </si>
  <si>
    <r>
      <rPr>
        <sz val="8.5"/>
        <rFont val="Arial"/>
        <family val="2"/>
      </rPr>
      <t>Badewanne</t>
    </r>
  </si>
  <si>
    <r>
      <rPr>
        <sz val="8.5"/>
        <rFont val="Arial"/>
        <family val="2"/>
      </rPr>
      <t>0,2</t>
    </r>
  </si>
  <si>
    <r>
      <rPr>
        <sz val="8.5"/>
        <rFont val="Arial"/>
        <family val="2"/>
      </rPr>
      <t>Waschmaschine bis zu 6 kg</t>
    </r>
  </si>
  <si>
    <r>
      <rPr>
        <sz val="8.5"/>
        <rFont val="Arial"/>
        <family val="2"/>
      </rPr>
      <t>Waschmaschine bis 12 kg</t>
    </r>
  </si>
  <si>
    <r>
      <rPr>
        <sz val="8.5"/>
        <rFont val="Arial"/>
        <family val="2"/>
      </rPr>
      <t>1,5</t>
    </r>
  </si>
  <si>
    <r>
      <rPr>
        <sz val="8.5"/>
        <rFont val="Arial"/>
        <family val="2"/>
      </rPr>
      <t>1,2</t>
    </r>
  </si>
  <si>
    <r>
      <rPr>
        <sz val="8.5"/>
        <rFont val="Arial"/>
        <family val="2"/>
      </rPr>
      <t>1,0</t>
    </r>
  </si>
  <si>
    <r>
      <rPr>
        <sz val="8.5"/>
        <rFont val="Arial"/>
        <family val="2"/>
      </rPr>
      <t>1,8</t>
    </r>
  </si>
  <si>
    <r>
      <rPr>
        <sz val="8.5"/>
        <rFont val="Arial"/>
        <family val="2"/>
      </rPr>
      <t>2,0</t>
    </r>
  </si>
  <si>
    <r>
      <rPr>
        <sz val="8.5"/>
        <rFont val="Arial"/>
        <family val="2"/>
      </rPr>
      <t>2,5</t>
    </r>
  </si>
  <si>
    <r>
      <rPr>
        <sz val="8.5"/>
        <rFont val="Arial"/>
        <family val="2"/>
      </rPr>
      <t>Bodenablauf DN 50</t>
    </r>
  </si>
  <si>
    <r>
      <rPr>
        <sz val="8.5"/>
        <rFont val="Arial"/>
        <family val="2"/>
      </rPr>
      <t>0,9</t>
    </r>
  </si>
  <si>
    <r>
      <rPr>
        <sz val="8.5"/>
        <rFont val="Arial"/>
        <family val="2"/>
      </rPr>
      <t>—</t>
    </r>
  </si>
  <si>
    <r>
      <rPr>
        <sz val="8.5"/>
        <rFont val="Arial"/>
        <family val="2"/>
      </rPr>
      <t>Bodenablauf DN 70</t>
    </r>
  </si>
  <si>
    <r>
      <rPr>
        <sz val="8.5"/>
        <rFont val="Arial"/>
        <family val="2"/>
      </rPr>
      <t>Bodenablauf DN 100</t>
    </r>
  </si>
  <si>
    <r>
      <rPr>
        <sz val="8.5"/>
        <rFont val="Arial"/>
        <family val="2"/>
      </rPr>
      <t xml:space="preserve">*  je Person
</t>
    </r>
    <r>
      <rPr>
        <sz val="8.5"/>
        <rFont val="Arial"/>
        <family val="2"/>
      </rPr>
      <t xml:space="preserve">**  nicht zugelassen
</t>
    </r>
    <r>
      <rPr>
        <sz val="8.5"/>
        <rFont val="Arial"/>
        <family val="2"/>
      </rPr>
      <t xml:space="preserve">***  abhangig vom Klosett-Typ (gultig nur fur Absaugeklosetts)
</t>
    </r>
    <r>
      <rPr>
        <sz val="8.5"/>
        <rFont val="Arial"/>
        <family val="2"/>
      </rPr>
      <t>—  nicht angewendet oder keine Daten verfugbar</t>
    </r>
  </si>
  <si>
    <t>Entwässerungsgegenstand System II DIN EN 12056-2</t>
  </si>
  <si>
    <t>Entwässerungsgegenstand System III DIN EN 12056-2</t>
  </si>
  <si>
    <t>Entwässerungsgegenstand System IV DIN EN 12056-2</t>
  </si>
  <si>
    <t xml:space="preserve">Waschbecken, Bidet </t>
  </si>
  <si>
    <t xml:space="preserve">Dusche ohne Stöpsel </t>
  </si>
  <si>
    <t xml:space="preserve">Dusche mit Stöpsel </t>
  </si>
  <si>
    <t xml:space="preserve">Einzelurinal mit Spülkasten </t>
  </si>
  <si>
    <t xml:space="preserve">Einzelurinal mit Druckspüler </t>
  </si>
  <si>
    <t xml:space="preserve">Standurinal </t>
  </si>
  <si>
    <t xml:space="preserve">Badewanne </t>
  </si>
  <si>
    <t xml:space="preserve">Küchenspüle, Ausgussbecken </t>
  </si>
  <si>
    <t xml:space="preserve">Geschirrspüler </t>
  </si>
  <si>
    <t xml:space="preserve">Waschmaschine bis 8 kg </t>
  </si>
  <si>
    <t xml:space="preserve">Waschmaschine bis 12 kg </t>
  </si>
  <si>
    <t>WC mit 4,0/4,5 l Spülkasten</t>
  </si>
  <si>
    <t>Geschirrspüler (Haushalt)</t>
  </si>
  <si>
    <t>Dusche ohne Stöpsel</t>
  </si>
  <si>
    <t>Dusche mit Stöpsel</t>
  </si>
  <si>
    <t>Einzelurinal mit Spülkasten</t>
  </si>
  <si>
    <t>Urinal mit Druckspüler</t>
  </si>
  <si>
    <t>Küchenspüle</t>
  </si>
  <si>
    <t>WC mit 4,0 l Spülkasten</t>
  </si>
  <si>
    <t>Küchenspüle und  Geschirrspülmaschine mit gemeinsamen Geruchverschluss DIN 1986-100 2016/12)</t>
  </si>
  <si>
    <t xml:space="preserve">Urinal ohne Wasserspülung (DIN 1986-100 2016/12) </t>
  </si>
  <si>
    <t>Steht in der 12056-2 nichts aber in der 1986-100</t>
  </si>
  <si>
    <t>Küchenspüle und  Geschirrspülmaschine mit gemeinsamen Geruchverschluss (DIN1986-100 2016/12)</t>
  </si>
  <si>
    <t xml:space="preserve">Urinal ohne Wasserspülung (DIN1986-100 2016/12) </t>
  </si>
  <si>
    <t xml:space="preserve">WC mit 6,0 l Spülkasten/Druckspüler </t>
  </si>
  <si>
    <t xml:space="preserve">WC mit 9,0 l Spülkasten/Druckspüler </t>
  </si>
  <si>
    <t xml:space="preserve">Bodenablauf DN 50 </t>
  </si>
  <si>
    <t>Bodenablauf DN 70</t>
  </si>
  <si>
    <t xml:space="preserve">Bodenablauf DN 100 </t>
  </si>
  <si>
    <t>WC mit 6,0 l Spülkasten</t>
  </si>
  <si>
    <t>WC mit 7,5 l Spülkasten</t>
  </si>
  <si>
    <t>WC mit 9,0 lSpülkasten</t>
  </si>
  <si>
    <r>
      <rPr>
        <sz val="8"/>
        <rFont val="Calibri"/>
        <family val="2"/>
        <scheme val="minor"/>
      </rPr>
      <t xml:space="preserve"> </t>
    </r>
    <r>
      <rPr>
        <sz val="8"/>
        <color theme="1" tint="0.34998626667073579"/>
        <rFont val="Calibri"/>
        <family val="2"/>
        <scheme val="minor"/>
      </rPr>
      <t>Im System III sind die Werte</t>
    </r>
    <r>
      <rPr>
        <sz val="8"/>
        <rFont val="Calibri"/>
        <family val="2"/>
        <scheme val="minor"/>
      </rPr>
      <t xml:space="preserve"> </t>
    </r>
    <r>
      <rPr>
        <sz val="8"/>
        <color theme="1"/>
        <rFont val="Calibri"/>
        <family val="2"/>
        <scheme val="minor"/>
      </rPr>
      <t>abhangig vom Klosett-Typ (gultig nur fur Absaugeklosetts) 4 l (1,2 bis 1,7),7,5 l (1,4 bis 1,8),9 l (1,6 bis 2,0) die Werte können im Formular geändert werden.                                                                                                                                                                                                                                                                                                                                                                                                                                ANMERKUNG aus DIN 1986-100 (2016/ 12)Klosetts mit 7,5 l Spülungen sind im Anwendungsbereich dieser Norm nicht gebräuchlich. Aus diesem Grunde wurde dem Entwässerungsgegenstand in der Tabelle keine Nennweite für die Einzelanschlussleitung zugeordnet. Bei Klosettanlagen mit Druckspülern können die gleichen Anschlusswerte wie bei Anlagen mit Spülkästen verwendet werden. Auf Grund aktueller Entwicklungen wurden Bemessungsregeln für Klosettanlagen mit 4,0 l bis 4,5 l Spülwasservolumen in das System I aufgenommen. In Untersuchungen wurde nachgewiesen, dass Klosettanlagen, die für 4,0 l bis 4,5 l und für 6 l Spülwasservolumen geeignet sind, mit den Nennweiten DN 80 (di,min = 75 mm) bzw. DN 90 (di,min = 79 mm) angeschlossen werden können.</t>
    </r>
  </si>
  <si>
    <t>DIN EN 12056 -2 (2001/01)</t>
  </si>
  <si>
    <t xml:space="preserve">Arbeitsblatt </t>
  </si>
  <si>
    <t>Inhalt</t>
  </si>
  <si>
    <t>Berechnung des Abwasserabflusses nach DIN EN 12056-2 (01/2001)</t>
  </si>
  <si>
    <t>Brechnung der Förderhöhe nach DIN EN12056-4 (01/2001) , Behältervolumen und Hydraulik</t>
  </si>
  <si>
    <t>Inhaltsverzeichnis Fäkalienhebeanlagen</t>
  </si>
  <si>
    <t>Hydraulikgröße der Hebenalage auswählen</t>
  </si>
  <si>
    <t>Nennweite DIN 1986-100 (2016/09)</t>
  </si>
  <si>
    <t>Stahl nach DIN EN 10220</t>
  </si>
  <si>
    <t>Kunststoff PVC-U DIN 8062 PN16</t>
  </si>
  <si>
    <t>Einfamilienhaus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</si>
</sst>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47"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b/>
      <sz val="14"/>
      <color theme="1"/>
      <name val="Calibri"/>
      <family val="2"/>
      <scheme val="minor"/>
    </font>
    <font>
      <b/>
      <sz val="12"/>
      <color theme="1"/>
      <name val="Calibri"/>
      <family val="2"/>
      <scheme val="minor"/>
    </font>
    <font>
      <b/>
      <vertAlign val="subscript"/>
      <sz val="12"/>
      <color theme="1"/>
      <name val="Calibri"/>
      <family val="2"/>
      <scheme val="minor"/>
    </font>
    <font>
      <b/>
      <vertAlign val="superscript"/>
      <sz val="12"/>
      <color theme="1"/>
      <name val="Calibri"/>
      <family val="2"/>
      <scheme val="minor"/>
    </font>
    <font>
      <sz val="12"/>
      <color theme="1"/>
      <name val="Calibri"/>
      <family val="2"/>
      <scheme val="minor"/>
    </font>
    <font>
      <vertAlign val="superscript"/>
      <sz val="11"/>
      <color theme="1"/>
      <name val="Calibri"/>
      <family val="2"/>
      <scheme val="minor"/>
    </font>
    <font>
      <vertAlign val="subscript"/>
      <sz val="11"/>
      <color theme="1"/>
      <name val="Calibri"/>
      <family val="2"/>
      <scheme val="minor"/>
    </font>
    <font>
      <sz val="10"/>
      <color theme="1"/>
      <name val="Calibri"/>
      <family val="2"/>
      <scheme val="minor"/>
    </font>
    <font>
      <sz val="8"/>
      <color theme="1"/>
      <name val="Calibri"/>
      <family val="2"/>
      <scheme val="minor"/>
    </font>
    <font>
      <b/>
      <vertAlign val="subscript"/>
      <sz val="11"/>
      <color theme="1"/>
      <name val="Calibri"/>
      <family val="2"/>
      <scheme val="minor"/>
    </font>
    <font>
      <sz val="12"/>
      <color rgb="FFFF0000"/>
      <name val="Calibri"/>
      <family val="2"/>
      <scheme val="minor"/>
    </font>
    <font>
      <vertAlign val="subscript"/>
      <sz val="12"/>
      <color rgb="FFFF0000"/>
      <name val="Calibri"/>
      <family val="2"/>
      <scheme val="minor"/>
    </font>
    <font>
      <sz val="12"/>
      <color theme="0"/>
      <name val="Calibri"/>
      <family val="2"/>
      <scheme val="minor"/>
    </font>
    <font>
      <b/>
      <sz val="16"/>
      <color theme="1"/>
      <name val="Calibri"/>
      <family val="2"/>
      <scheme val="minor"/>
    </font>
    <font>
      <b/>
      <sz val="18"/>
      <color theme="1"/>
      <name val="Calibri"/>
      <family val="2"/>
      <scheme val="minor"/>
    </font>
    <font>
      <sz val="11"/>
      <color theme="1"/>
      <name val="Calibri"/>
      <family val="2"/>
      <scheme val="minor"/>
    </font>
    <font>
      <b/>
      <sz val="12"/>
      <color rgb="FFFF0000"/>
      <name val="Calibri"/>
      <family val="2"/>
      <scheme val="minor"/>
    </font>
    <font>
      <b/>
      <sz val="12"/>
      <name val="Calibri"/>
      <family val="2"/>
      <scheme val="minor"/>
    </font>
    <font>
      <sz val="9"/>
      <color rgb="FF595959"/>
      <name val="Calibri"/>
      <family val="2"/>
      <scheme val="minor"/>
    </font>
    <font>
      <sz val="11"/>
      <name val="Calibri"/>
      <family val="2"/>
      <scheme val="minor"/>
    </font>
    <font>
      <sz val="11"/>
      <color theme="1"/>
      <name val="Calibri"/>
      <family val="2"/>
    </font>
    <font>
      <b/>
      <sz val="12"/>
      <color theme="1"/>
      <name val="Calibri"/>
      <family val="2"/>
    </font>
    <font>
      <b/>
      <sz val="12"/>
      <color theme="0"/>
      <name val="Calibri"/>
      <family val="2"/>
      <scheme val="minor"/>
    </font>
    <font>
      <b/>
      <sz val="12"/>
      <color theme="0"/>
      <name val="Calibri"/>
      <family val="2"/>
    </font>
    <font>
      <b/>
      <vertAlign val="subscript"/>
      <sz val="12"/>
      <color theme="1"/>
      <name val="Calibri"/>
      <family val="2"/>
    </font>
    <font>
      <b/>
      <sz val="12"/>
      <color rgb="FFFF0000"/>
      <name val="Arial"/>
      <family val="2"/>
    </font>
    <font>
      <vertAlign val="superscript"/>
      <sz val="11"/>
      <name val="Calibri"/>
      <family val="2"/>
      <scheme val="minor"/>
    </font>
    <font>
      <b/>
      <sz val="10"/>
      <color rgb="FFFF0000"/>
      <name val="Arial"/>
      <family val="2"/>
    </font>
    <font>
      <b/>
      <sz val="11"/>
      <color indexed="81"/>
      <name val="Segoe UI"/>
      <family val="2"/>
    </font>
    <font>
      <sz val="11"/>
      <color indexed="81"/>
      <name val="Segoe UI"/>
      <family val="2"/>
    </font>
    <font>
      <b/>
      <sz val="11"/>
      <color theme="0"/>
      <name val="Calibri"/>
      <family val="2"/>
      <scheme val="minor"/>
    </font>
    <font>
      <sz val="10"/>
      <color rgb="FF000000"/>
      <name val="Verdana"/>
      <family val="2"/>
    </font>
    <font>
      <b/>
      <sz val="12"/>
      <color indexed="81"/>
      <name val="Segoe UI"/>
      <family val="2"/>
    </font>
    <font>
      <sz val="12"/>
      <name val="Calibri"/>
      <family val="2"/>
      <scheme val="minor"/>
    </font>
    <font>
      <sz val="8.5"/>
      <color rgb="FF000000"/>
      <name val="Arial"/>
      <family val="2"/>
    </font>
    <font>
      <sz val="8.5"/>
      <name val="Arial"/>
      <family val="2"/>
    </font>
    <font>
      <sz val="8.5"/>
      <color rgb="FFFF0000"/>
      <name val="Arial"/>
      <family val="2"/>
    </font>
    <font>
      <b/>
      <sz val="8"/>
      <color theme="1"/>
      <name val="Calibri"/>
      <family val="2"/>
      <scheme val="minor"/>
    </font>
    <font>
      <sz val="8"/>
      <name val="Calibri"/>
      <family val="2"/>
      <scheme val="minor"/>
    </font>
    <font>
      <sz val="8"/>
      <color theme="1" tint="0.34998626667073579"/>
      <name val="Calibri"/>
      <family val="2"/>
      <scheme val="minor"/>
    </font>
    <font>
      <b/>
      <sz val="20"/>
      <color theme="1"/>
      <name val="Calibri"/>
      <family val="2"/>
      <scheme val="minor"/>
    </font>
    <font>
      <sz val="11"/>
      <color theme="0"/>
      <name val="Calibri"/>
      <family val="2"/>
    </font>
  </fonts>
  <fills count="7">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rgb="FFFF0000"/>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1">
    <xf numFmtId="0" fontId="0" fillId="0" borderId="0"/>
  </cellStyleXfs>
  <cellXfs count="272">
    <xf numFmtId="0" fontId="0" fillId="0" borderId="0" xfId="0"/>
    <xf numFmtId="0" fontId="4" fillId="0" borderId="1" xfId="0" applyFont="1" applyBorder="1" applyAlignment="1">
      <alignment horizontal="left" vertical="center"/>
    </xf>
    <xf numFmtId="0" fontId="4" fillId="0" borderId="4" xfId="0" applyFont="1" applyBorder="1" applyAlignment="1">
      <alignment vertical="center"/>
    </xf>
    <xf numFmtId="0" fontId="6" fillId="0" borderId="0" xfId="0" applyFont="1" applyAlignment="1">
      <alignment vertical="center"/>
    </xf>
    <xf numFmtId="0" fontId="6" fillId="2" borderId="7" xfId="0" applyFont="1" applyFill="1" applyBorder="1" applyAlignment="1" applyProtection="1">
      <alignment horizontal="center" vertical="center"/>
      <protection locked="0"/>
    </xf>
    <xf numFmtId="0" fontId="6" fillId="0" borderId="0" xfId="0" applyFont="1" applyAlignment="1">
      <alignment horizontal="left" vertical="center"/>
    </xf>
    <xf numFmtId="0" fontId="9" fillId="0" borderId="0" xfId="0" applyFont="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2" fontId="0" fillId="0" borderId="0" xfId="0" applyNumberFormat="1" applyAlignment="1">
      <alignment horizontal="center" vertical="center"/>
    </xf>
    <xf numFmtId="0" fontId="9" fillId="0" borderId="0" xfId="0" applyFont="1" applyAlignment="1">
      <alignment horizontal="left" vertical="center"/>
    </xf>
    <xf numFmtId="0" fontId="0" fillId="0" borderId="0" xfId="0" applyAlignment="1">
      <alignment horizontal="left"/>
    </xf>
    <xf numFmtId="0" fontId="9" fillId="4" borderId="9" xfId="0" applyFont="1" applyFill="1" applyBorder="1" applyAlignment="1" applyProtection="1">
      <alignment horizontal="center" vertical="center"/>
      <protection locked="0"/>
    </xf>
    <xf numFmtId="0" fontId="9" fillId="0" borderId="9" xfId="0" applyFont="1" applyBorder="1" applyAlignment="1">
      <alignment horizontal="center" vertical="center"/>
    </xf>
    <xf numFmtId="0" fontId="9" fillId="3" borderId="10" xfId="0" applyFont="1" applyFill="1" applyBorder="1" applyAlignment="1">
      <alignment horizontal="center" vertical="center"/>
    </xf>
    <xf numFmtId="0" fontId="9" fillId="0" borderId="0" xfId="0" applyFont="1" applyAlignment="1">
      <alignment vertical="top" wrapText="1"/>
    </xf>
    <xf numFmtId="0" fontId="9"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top" wrapText="1"/>
    </xf>
    <xf numFmtId="0" fontId="6" fillId="0" borderId="0" xfId="0" applyFont="1" applyAlignment="1">
      <alignment horizontal="center" vertical="center" wrapText="1"/>
    </xf>
    <xf numFmtId="0" fontId="0" fillId="3" borderId="0" xfId="0" applyFill="1" applyAlignment="1" applyProtection="1">
      <alignment horizontal="center" vertical="center"/>
      <protection hidden="1"/>
    </xf>
    <xf numFmtId="0" fontId="2" fillId="0" borderId="0" xfId="0" applyFont="1" applyAlignment="1">
      <alignment horizontal="left" vertical="center"/>
    </xf>
    <xf numFmtId="0" fontId="2" fillId="0" borderId="0" xfId="0" applyFont="1"/>
    <xf numFmtId="0" fontId="0" fillId="0" borderId="0" xfId="0" applyAlignment="1">
      <alignment horizontal="left" vertical="top" wrapText="1"/>
    </xf>
    <xf numFmtId="0" fontId="2" fillId="0" borderId="0" xfId="0" applyFont="1" applyAlignment="1">
      <alignment horizontal="center" vertical="center" wrapText="1"/>
    </xf>
    <xf numFmtId="2" fontId="2" fillId="3" borderId="0" xfId="0" applyNumberFormat="1" applyFont="1" applyFill="1" applyAlignment="1">
      <alignment horizontal="center" vertical="center" wrapText="1"/>
    </xf>
    <xf numFmtId="0" fontId="1" fillId="0" borderId="0" xfId="0" applyFont="1" applyAlignment="1">
      <alignment horizontal="left" vertical="center"/>
    </xf>
    <xf numFmtId="0" fontId="2" fillId="4" borderId="7" xfId="0" applyFont="1" applyFill="1" applyBorder="1" applyAlignment="1" applyProtection="1">
      <alignment horizontal="center" vertical="center" wrapText="1"/>
      <protection locked="0"/>
    </xf>
    <xf numFmtId="0" fontId="9" fillId="0" borderId="0" xfId="0" applyFont="1" applyAlignment="1">
      <alignment horizontal="left" vertical="top" wrapText="1"/>
    </xf>
    <xf numFmtId="0" fontId="9" fillId="2" borderId="7" xfId="0" applyFont="1" applyFill="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xf>
    <xf numFmtId="165" fontId="9" fillId="3" borderId="0" xfId="0" applyNumberFormat="1" applyFont="1" applyFill="1" applyAlignment="1">
      <alignment horizontal="center" vertical="center" wrapText="1"/>
    </xf>
    <xf numFmtId="0" fontId="6" fillId="0" borderId="0" xfId="0" applyFont="1" applyAlignment="1">
      <alignment horizontal="left" vertical="top" wrapText="1"/>
    </xf>
    <xf numFmtId="165" fontId="17" fillId="0" borderId="0" xfId="0" applyNumberFormat="1" applyFont="1" applyAlignment="1">
      <alignment horizontal="center" vertical="center" wrapText="1"/>
    </xf>
    <xf numFmtId="0" fontId="9" fillId="2" borderId="7" xfId="0" applyFont="1" applyFill="1" applyBorder="1" applyAlignment="1" applyProtection="1">
      <alignment horizontal="center" vertical="center" wrapText="1"/>
      <protection locked="0"/>
    </xf>
    <xf numFmtId="2" fontId="9" fillId="3" borderId="0" xfId="0" applyNumberFormat="1" applyFont="1" applyFill="1" applyAlignment="1">
      <alignment horizontal="center" vertical="center" wrapText="1"/>
    </xf>
    <xf numFmtId="2" fontId="17" fillId="0" borderId="0" xfId="0" applyNumberFormat="1" applyFont="1" applyAlignment="1">
      <alignment horizontal="center" vertical="center" wrapText="1"/>
    </xf>
    <xf numFmtId="0" fontId="6" fillId="0" borderId="0" xfId="0" applyFont="1"/>
    <xf numFmtId="0" fontId="9" fillId="0" borderId="0" xfId="0" applyFont="1" applyAlignment="1">
      <alignment horizontal="left" vertical="top"/>
    </xf>
    <xf numFmtId="0" fontId="3" fillId="0" borderId="0" xfId="0" applyFont="1" applyAlignment="1">
      <alignment horizontal="left" vertical="top" wrapText="1"/>
    </xf>
    <xf numFmtId="2" fontId="6" fillId="3" borderId="29" xfId="0" applyNumberFormat="1" applyFont="1" applyFill="1" applyBorder="1" applyAlignment="1">
      <alignment horizontal="center" vertical="center" wrapText="1"/>
    </xf>
    <xf numFmtId="0" fontId="6" fillId="0" borderId="0" xfId="0" applyFont="1" applyAlignment="1">
      <alignment vertical="center" wrapText="1"/>
    </xf>
    <xf numFmtId="2" fontId="6" fillId="0" borderId="0" xfId="0" applyNumberFormat="1" applyFont="1" applyAlignment="1">
      <alignment vertical="center" wrapText="1"/>
    </xf>
    <xf numFmtId="2" fontId="18" fillId="0" borderId="0" xfId="0" applyNumberFormat="1" applyFont="1" applyAlignment="1">
      <alignment vertical="center" wrapText="1"/>
    </xf>
    <xf numFmtId="0" fontId="19" fillId="0" borderId="0" xfId="0" applyFont="1" applyAlignment="1">
      <alignment vertical="center" wrapText="1"/>
    </xf>
    <xf numFmtId="0" fontId="9" fillId="0" borderId="0" xfId="0" applyFont="1" applyAlignment="1">
      <alignment horizontal="center" vertical="center"/>
    </xf>
    <xf numFmtId="2" fontId="0" fillId="0" borderId="0" xfId="0" applyNumberFormat="1" applyAlignment="1">
      <alignment horizontal="center" vertical="center" wrapText="1"/>
    </xf>
    <xf numFmtId="0" fontId="2" fillId="0" borderId="0" xfId="0" applyFont="1" applyAlignment="1">
      <alignment vertical="center" wrapText="1"/>
    </xf>
    <xf numFmtId="0" fontId="0" fillId="0" borderId="9" xfId="0" applyBorder="1" applyAlignment="1">
      <alignment horizontal="center" vertical="center"/>
    </xf>
    <xf numFmtId="0" fontId="0" fillId="0" borderId="9" xfId="0" applyBorder="1"/>
    <xf numFmtId="4" fontId="0" fillId="0" borderId="9" xfId="0" applyNumberFormat="1" applyBorder="1" applyAlignment="1">
      <alignment horizontal="center" vertical="center"/>
    </xf>
    <xf numFmtId="0" fontId="0" fillId="0" borderId="34" xfId="0" applyBorder="1" applyAlignment="1">
      <alignment horizontal="center"/>
    </xf>
    <xf numFmtId="0" fontId="0" fillId="0" borderId="35" xfId="0" applyBorder="1" applyAlignment="1">
      <alignment horizontal="center" vertical="center"/>
    </xf>
    <xf numFmtId="0" fontId="2" fillId="0" borderId="35" xfId="0" applyFont="1" applyBorder="1" applyAlignment="1">
      <alignment horizontal="center" vertical="center"/>
    </xf>
    <xf numFmtId="0" fontId="0" fillId="0" borderId="36" xfId="0" applyBorder="1" applyAlignment="1">
      <alignment horizontal="center"/>
    </xf>
    <xf numFmtId="0" fontId="0" fillId="0" borderId="13"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xf>
    <xf numFmtId="0" fontId="0" fillId="0" borderId="11" xfId="0" applyBorder="1" applyAlignment="1">
      <alignment horizontal="center" vertical="center"/>
    </xf>
    <xf numFmtId="0" fontId="0" fillId="0" borderId="11" xfId="0" applyBorder="1"/>
    <xf numFmtId="0" fontId="0" fillId="0" borderId="39" xfId="0" applyBorder="1" applyAlignment="1">
      <alignment horizontal="center" vertical="center"/>
    </xf>
    <xf numFmtId="0" fontId="0" fillId="0" borderId="0" xfId="0" applyAlignment="1">
      <alignment horizontal="center"/>
    </xf>
    <xf numFmtId="0" fontId="20" fillId="0" borderId="0" xfId="0" applyFont="1" applyAlignment="1">
      <alignment vertical="center"/>
    </xf>
    <xf numFmtId="2" fontId="6" fillId="3" borderId="29" xfId="0" applyNumberFormat="1" applyFont="1" applyFill="1" applyBorder="1" applyAlignment="1">
      <alignment horizontal="center" vertical="center"/>
    </xf>
    <xf numFmtId="0" fontId="6" fillId="0" borderId="0" xfId="0" applyFont="1" applyAlignment="1">
      <alignment horizontal="left"/>
    </xf>
    <xf numFmtId="2" fontId="6" fillId="3" borderId="0" xfId="0" applyNumberFormat="1" applyFont="1" applyFill="1" applyAlignment="1">
      <alignment horizontal="center" vertical="center"/>
    </xf>
    <xf numFmtId="0" fontId="6" fillId="4" borderId="7" xfId="0" applyFont="1" applyFill="1" applyBorder="1" applyAlignment="1" applyProtection="1">
      <alignment horizontal="center" vertical="center"/>
      <protection locked="0"/>
    </xf>
    <xf numFmtId="1" fontId="0" fillId="0" borderId="0" xfId="0" applyNumberFormat="1"/>
    <xf numFmtId="164" fontId="0" fillId="0" borderId="0" xfId="0" applyNumberFormat="1" applyAlignment="1">
      <alignment horizontal="center"/>
    </xf>
    <xf numFmtId="0" fontId="23" fillId="0" borderId="0" xfId="0" applyFont="1" applyAlignment="1">
      <alignment horizontal="center" vertical="center" readingOrder="1"/>
    </xf>
    <xf numFmtId="0" fontId="24" fillId="4" borderId="0" xfId="0" applyFont="1" applyFill="1" applyAlignment="1">
      <alignment horizontal="center" vertical="center"/>
    </xf>
    <xf numFmtId="164" fontId="0" fillId="0" borderId="0" xfId="0" applyNumberFormat="1" applyAlignment="1">
      <alignment horizontal="center" vertical="center"/>
    </xf>
    <xf numFmtId="0" fontId="0" fillId="4" borderId="0" xfId="0" applyFill="1" applyAlignment="1">
      <alignment horizontal="center" vertical="center"/>
    </xf>
    <xf numFmtId="0" fontId="25" fillId="0" borderId="0" xfId="0" applyFont="1" applyAlignment="1">
      <alignment horizontal="center" vertical="center"/>
    </xf>
    <xf numFmtId="11" fontId="0" fillId="0" borderId="0" xfId="0" applyNumberFormat="1"/>
    <xf numFmtId="0" fontId="0" fillId="4" borderId="0" xfId="0" applyFill="1" applyAlignment="1">
      <alignment horizontal="center"/>
    </xf>
    <xf numFmtId="0" fontId="21" fillId="0" borderId="0" xfId="0" applyFont="1" applyAlignment="1">
      <alignment vertical="center"/>
    </xf>
    <xf numFmtId="0" fontId="26" fillId="0" borderId="0" xfId="0" applyFont="1" applyAlignment="1">
      <alignment horizontal="center"/>
    </xf>
    <xf numFmtId="0" fontId="26" fillId="0" borderId="0" xfId="0" applyFont="1" applyAlignment="1">
      <alignment horizontal="center" vertical="center"/>
    </xf>
    <xf numFmtId="165" fontId="6" fillId="3" borderId="0" xfId="0" applyNumberFormat="1" applyFont="1" applyFill="1" applyAlignment="1">
      <alignment horizontal="center" vertical="center"/>
    </xf>
    <xf numFmtId="0" fontId="6" fillId="0" borderId="0" xfId="0" applyFont="1" applyAlignment="1">
      <alignment horizontal="center"/>
    </xf>
    <xf numFmtId="0" fontId="6" fillId="0" borderId="7" xfId="0" applyFont="1" applyBorder="1" applyAlignment="1">
      <alignment horizontal="center" vertical="center"/>
    </xf>
    <xf numFmtId="0" fontId="26" fillId="0" borderId="2"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4" borderId="9" xfId="0" applyFont="1" applyFill="1" applyBorder="1" applyAlignment="1" applyProtection="1">
      <alignment horizontal="center" vertical="center"/>
      <protection locked="0"/>
    </xf>
    <xf numFmtId="0" fontId="6" fillId="3" borderId="9" xfId="0" applyFont="1" applyFill="1" applyBorder="1" applyAlignment="1">
      <alignment horizontal="center" vertical="center"/>
    </xf>
    <xf numFmtId="2" fontId="6" fillId="3" borderId="10" xfId="0" applyNumberFormat="1" applyFont="1" applyFill="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28" fillId="0" borderId="0" xfId="0" applyFont="1" applyAlignment="1">
      <alignment horizontal="center" vertical="center"/>
    </xf>
    <xf numFmtId="0" fontId="27" fillId="0" borderId="0" xfId="0" applyFont="1" applyAlignment="1">
      <alignment horizontal="center" vertical="center"/>
    </xf>
    <xf numFmtId="0" fontId="26" fillId="0" borderId="0" xfId="0" applyFont="1" applyAlignment="1">
      <alignment vertical="center"/>
    </xf>
    <xf numFmtId="0" fontId="6" fillId="3" borderId="0" xfId="0" applyFont="1" applyFill="1" applyAlignment="1">
      <alignment horizontal="center" vertical="center"/>
    </xf>
    <xf numFmtId="1" fontId="6" fillId="3" borderId="29" xfId="0" applyNumberFormat="1" applyFont="1" applyFill="1" applyBorder="1" applyAlignment="1">
      <alignment horizontal="center" vertical="center"/>
    </xf>
    <xf numFmtId="0" fontId="21" fillId="5" borderId="0" xfId="0" applyFont="1" applyFill="1" applyAlignment="1">
      <alignment vertical="top" wrapText="1"/>
    </xf>
    <xf numFmtId="0" fontId="30" fillId="0" borderId="0" xfId="0" applyFont="1" applyAlignment="1">
      <alignment horizontal="left" vertical="top" wrapText="1"/>
    </xf>
    <xf numFmtId="0" fontId="6" fillId="0" borderId="9" xfId="0" applyFont="1" applyBorder="1" applyAlignment="1">
      <alignment horizontal="center" vertical="center" wrapText="1"/>
    </xf>
    <xf numFmtId="0" fontId="6" fillId="0" borderId="0" xfId="0" applyFont="1" applyAlignment="1">
      <alignment horizontal="right"/>
    </xf>
    <xf numFmtId="1" fontId="6" fillId="0" borderId="0" xfId="0" applyNumberFormat="1" applyFont="1" applyAlignment="1">
      <alignment horizontal="center" vertical="center"/>
    </xf>
    <xf numFmtId="0" fontId="24" fillId="0" borderId="0" xfId="0" applyFont="1"/>
    <xf numFmtId="0" fontId="24" fillId="0" borderId="0" xfId="0" applyFont="1" applyAlignment="1">
      <alignment horizontal="center" vertical="center"/>
    </xf>
    <xf numFmtId="1" fontId="24" fillId="0" borderId="0" xfId="0" applyNumberFormat="1" applyFont="1" applyAlignment="1">
      <alignment horizontal="center" vertical="center"/>
    </xf>
    <xf numFmtId="0" fontId="22" fillId="0" borderId="0" xfId="0" applyFont="1" applyAlignment="1">
      <alignment vertical="center"/>
    </xf>
    <xf numFmtId="166" fontId="6" fillId="3" borderId="0" xfId="0" applyNumberFormat="1" applyFont="1" applyFill="1" applyAlignment="1">
      <alignment horizontal="center" vertical="center"/>
    </xf>
    <xf numFmtId="0" fontId="0" fillId="3" borderId="0" xfId="0" applyFill="1"/>
    <xf numFmtId="0" fontId="0" fillId="3" borderId="0" xfId="0" applyFill="1" applyAlignment="1">
      <alignment horizontal="center" vertical="center"/>
    </xf>
    <xf numFmtId="0" fontId="0" fillId="0" borderId="0" xfId="0" applyAlignment="1">
      <alignment horizontal="right" vertical="center"/>
    </xf>
    <xf numFmtId="0" fontId="0" fillId="3" borderId="0" xfId="0" applyFill="1" applyAlignment="1">
      <alignment horizontal="right"/>
    </xf>
    <xf numFmtId="0" fontId="0" fillId="0" borderId="0" xfId="0" quotePrefix="1" applyAlignment="1">
      <alignment horizontal="center" vertical="center"/>
    </xf>
    <xf numFmtId="0" fontId="0" fillId="3" borderId="0" xfId="0" applyFill="1" applyAlignment="1">
      <alignment horizontal="center"/>
    </xf>
    <xf numFmtId="2" fontId="6" fillId="0" borderId="0" xfId="0" applyNumberFormat="1" applyFont="1" applyAlignment="1">
      <alignment horizontal="center" vertical="center"/>
    </xf>
    <xf numFmtId="0" fontId="3" fillId="0" borderId="0" xfId="0" applyFont="1"/>
    <xf numFmtId="0" fontId="3" fillId="0" borderId="0" xfId="0" applyFont="1" applyAlignment="1">
      <alignment horizontal="center" vertical="center"/>
    </xf>
    <xf numFmtId="164" fontId="3" fillId="0" borderId="0" xfId="0" applyNumberFormat="1" applyFont="1" applyAlignment="1">
      <alignment horizontal="center" vertical="center"/>
    </xf>
    <xf numFmtId="164" fontId="3" fillId="0" borderId="0" xfId="0" applyNumberFormat="1" applyFont="1" applyAlignment="1">
      <alignment horizontal="center"/>
    </xf>
    <xf numFmtId="0" fontId="3" fillId="0" borderId="0" xfId="0" applyFont="1" applyAlignment="1">
      <alignment horizontal="center"/>
    </xf>
    <xf numFmtId="164" fontId="27" fillId="0" borderId="0" xfId="0" applyNumberFormat="1" applyFont="1" applyAlignment="1">
      <alignment horizontal="center" vertical="center"/>
    </xf>
    <xf numFmtId="1" fontId="3" fillId="0" borderId="0" xfId="0" applyNumberFormat="1" applyFont="1" applyAlignment="1">
      <alignment horizontal="center" vertical="center"/>
    </xf>
    <xf numFmtId="0" fontId="27" fillId="0" borderId="0" xfId="0" applyFont="1" applyAlignment="1">
      <alignment vertical="center"/>
    </xf>
    <xf numFmtId="0" fontId="35" fillId="0" borderId="0" xfId="0" applyFont="1" applyAlignment="1">
      <alignment horizontal="left" vertical="center"/>
    </xf>
    <xf numFmtId="0" fontId="35" fillId="0" borderId="0" xfId="0" applyFont="1" applyAlignment="1">
      <alignment vertical="center"/>
    </xf>
    <xf numFmtId="0" fontId="3" fillId="0" borderId="0" xfId="0" quotePrefix="1" applyFont="1"/>
    <xf numFmtId="0" fontId="3" fillId="0" borderId="0" xfId="0" applyFont="1" applyAlignment="1">
      <alignment horizontal="left" vertical="center"/>
    </xf>
    <xf numFmtId="166" fontId="3" fillId="0" borderId="0" xfId="0" applyNumberFormat="1" applyFont="1" applyAlignment="1">
      <alignment horizontal="center" vertical="center"/>
    </xf>
    <xf numFmtId="2" fontId="3" fillId="0" borderId="0" xfId="0" applyNumberFormat="1" applyFont="1" applyAlignment="1">
      <alignment horizontal="center" vertical="center"/>
    </xf>
    <xf numFmtId="2" fontId="3" fillId="0" borderId="0" xfId="0" applyNumberFormat="1" applyFont="1" applyAlignment="1">
      <alignment horizontal="center"/>
    </xf>
    <xf numFmtId="0" fontId="36" fillId="0" borderId="0" xfId="0" applyFont="1" applyAlignment="1">
      <alignment vertical="top" wrapText="1"/>
    </xf>
    <xf numFmtId="0" fontId="36" fillId="0" borderId="9" xfId="0" applyFont="1" applyBorder="1" applyAlignment="1">
      <alignment horizontal="center" vertical="top" wrapText="1"/>
    </xf>
    <xf numFmtId="0" fontId="36" fillId="0" borderId="9" xfId="0" applyFont="1" applyBorder="1" applyAlignment="1">
      <alignment vertical="top" wrapText="1"/>
    </xf>
    <xf numFmtId="0" fontId="36" fillId="0" borderId="0" xfId="0" applyFont="1" applyAlignment="1">
      <alignment horizontal="center" vertical="center" wrapText="1"/>
    </xf>
    <xf numFmtId="0" fontId="0" fillId="0" borderId="34" xfId="0" applyBorder="1" applyAlignment="1">
      <alignment horizontal="center" vertical="center"/>
    </xf>
    <xf numFmtId="0" fontId="36" fillId="0" borderId="34" xfId="0" applyFont="1" applyBorder="1" applyAlignment="1">
      <alignment horizontal="center" vertical="center" wrapText="1"/>
    </xf>
    <xf numFmtId="0" fontId="0" fillId="0" borderId="36" xfId="0" applyBorder="1" applyAlignment="1">
      <alignment horizontal="center" vertical="center"/>
    </xf>
    <xf numFmtId="0" fontId="36" fillId="0" borderId="38" xfId="0" applyFont="1" applyBorder="1" applyAlignment="1">
      <alignment horizontal="center" vertical="center" wrapText="1"/>
    </xf>
    <xf numFmtId="0" fontId="0" fillId="0" borderId="21" xfId="0" applyBorder="1" applyAlignment="1">
      <alignment horizontal="center" vertical="center"/>
    </xf>
    <xf numFmtId="0" fontId="0" fillId="0" borderId="37" xfId="0" applyBorder="1" applyAlignment="1">
      <alignment horizontal="center" vertical="center" wrapText="1"/>
    </xf>
    <xf numFmtId="0" fontId="20" fillId="0" borderId="0" xfId="0" applyFont="1" applyAlignment="1">
      <alignment horizontal="center" vertical="center"/>
    </xf>
    <xf numFmtId="0" fontId="39" fillId="0" borderId="9" xfId="0" applyFont="1" applyBorder="1" applyAlignment="1">
      <alignment horizontal="center" vertical="center" wrapText="1"/>
    </xf>
    <xf numFmtId="0" fontId="39" fillId="0" borderId="9" xfId="0" applyFont="1" applyBorder="1" applyAlignment="1">
      <alignment horizontal="center" vertical="top" wrapText="1"/>
    </xf>
    <xf numFmtId="0" fontId="39" fillId="0" borderId="9" xfId="0" applyFont="1" applyBorder="1" applyAlignment="1">
      <alignment horizontal="center"/>
    </xf>
    <xf numFmtId="0" fontId="39" fillId="0" borderId="9" xfId="0" applyFont="1" applyBorder="1" applyAlignment="1">
      <alignment horizontal="center" vertical="center"/>
    </xf>
    <xf numFmtId="0" fontId="40" fillId="0" borderId="9" xfId="0" applyFont="1" applyBorder="1" applyAlignment="1">
      <alignment horizontal="center"/>
    </xf>
    <xf numFmtId="0" fontId="1" fillId="0" borderId="9" xfId="0" applyFont="1" applyBorder="1" applyAlignment="1">
      <alignment horizontal="center"/>
    </xf>
    <xf numFmtId="0" fontId="41" fillId="0" borderId="0" xfId="0" applyFont="1" applyAlignment="1">
      <alignment horizontal="left" vertical="center" wrapText="1"/>
    </xf>
    <xf numFmtId="0" fontId="9" fillId="6" borderId="9" xfId="0" applyFont="1" applyFill="1" applyBorder="1" applyAlignment="1">
      <alignment horizontal="center" vertical="center"/>
    </xf>
    <xf numFmtId="0" fontId="40" fillId="0" borderId="0" xfId="0" applyFont="1"/>
    <xf numFmtId="0" fontId="39" fillId="0" borderId="34" xfId="0" applyFont="1" applyBorder="1" applyAlignment="1">
      <alignment horizontal="left" vertical="center" wrapText="1"/>
    </xf>
    <xf numFmtId="0" fontId="40" fillId="0" borderId="34" xfId="0" applyFont="1" applyBorder="1" applyAlignment="1">
      <alignment horizontal="left" vertical="center" wrapText="1"/>
    </xf>
    <xf numFmtId="0" fontId="39" fillId="0" borderId="35" xfId="0" applyFont="1" applyBorder="1" applyAlignment="1">
      <alignment horizontal="center"/>
    </xf>
    <xf numFmtId="0" fontId="39" fillId="0" borderId="35" xfId="0" applyFont="1" applyBorder="1" applyAlignment="1">
      <alignment horizontal="center" vertical="center"/>
    </xf>
    <xf numFmtId="0" fontId="39" fillId="0" borderId="36" xfId="0" applyFont="1" applyBorder="1" applyAlignment="1">
      <alignment horizontal="left" vertical="center" wrapText="1"/>
    </xf>
    <xf numFmtId="0" fontId="39" fillId="0" borderId="13" xfId="0" applyFont="1" applyBorder="1" applyAlignment="1">
      <alignment horizontal="center"/>
    </xf>
    <xf numFmtId="0" fontId="39" fillId="0" borderId="37" xfId="0" applyFont="1" applyBorder="1" applyAlignment="1">
      <alignment horizontal="center"/>
    </xf>
    <xf numFmtId="0" fontId="39" fillId="0" borderId="38" xfId="0" applyFont="1" applyBorder="1" applyAlignment="1">
      <alignment horizontal="left" vertical="center" wrapText="1"/>
    </xf>
    <xf numFmtId="0" fontId="39" fillId="0" borderId="11" xfId="0" applyFont="1" applyBorder="1" applyAlignment="1">
      <alignment horizontal="center"/>
    </xf>
    <xf numFmtId="0" fontId="39" fillId="0" borderId="39" xfId="0" applyFont="1" applyBorder="1" applyAlignment="1">
      <alignment horizontal="center"/>
    </xf>
    <xf numFmtId="0" fontId="45" fillId="0" borderId="0" xfId="0" applyFont="1"/>
    <xf numFmtId="0" fontId="0" fillId="0" borderId="1" xfId="0" applyBorder="1" applyAlignment="1">
      <alignment horizontal="center" vertical="center"/>
    </xf>
    <xf numFmtId="0" fontId="0" fillId="0" borderId="4" xfId="0" applyBorder="1" applyAlignment="1">
      <alignment horizontal="center" vertical="center"/>
    </xf>
    <xf numFmtId="0" fontId="0" fillId="0" borderId="0" xfId="0" applyAlignment="1">
      <alignment vertical="center" wrapText="1"/>
    </xf>
    <xf numFmtId="0" fontId="46" fillId="0" borderId="0" xfId="0" applyFont="1" applyAlignment="1">
      <alignment horizontal="center" vertical="center"/>
    </xf>
    <xf numFmtId="0" fontId="17" fillId="0" borderId="0" xfId="0" applyFont="1" applyAlignment="1">
      <alignment vertical="center"/>
    </xf>
    <xf numFmtId="1" fontId="17" fillId="0" borderId="0" xfId="0" applyNumberFormat="1" applyFont="1" applyAlignment="1">
      <alignment horizontal="center" vertical="center"/>
    </xf>
    <xf numFmtId="165" fontId="3" fillId="0" borderId="0" xfId="0" applyNumberFormat="1" applyFont="1" applyAlignment="1">
      <alignment horizontal="center" vertical="center"/>
    </xf>
    <xf numFmtId="1" fontId="3" fillId="0" borderId="0" xfId="0" applyNumberFormat="1" applyFont="1"/>
    <xf numFmtId="0" fontId="35" fillId="0" borderId="0" xfId="0" applyFont="1"/>
    <xf numFmtId="0" fontId="3" fillId="0" borderId="0" xfId="0" applyFont="1" applyAlignment="1">
      <alignment vertical="top" wrapText="1"/>
    </xf>
    <xf numFmtId="0" fontId="1" fillId="0" borderId="0" xfId="0" applyFont="1"/>
    <xf numFmtId="0" fontId="21" fillId="0" borderId="0" xfId="0" applyFont="1" applyAlignment="1">
      <alignment horizontal="right"/>
    </xf>
    <xf numFmtId="0" fontId="21" fillId="0" borderId="0" xfId="0" applyFont="1"/>
    <xf numFmtId="164" fontId="6" fillId="3" borderId="0" xfId="0" applyNumberFormat="1" applyFont="1" applyFill="1" applyAlignment="1">
      <alignment horizontal="center" vertical="center"/>
    </xf>
    <xf numFmtId="0" fontId="21" fillId="0" borderId="0" xfId="0" applyFont="1" applyAlignment="1">
      <alignment horizontal="center" vertical="center"/>
    </xf>
    <xf numFmtId="0" fontId="4" fillId="0" borderId="2" xfId="0" applyFont="1"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14" fontId="0" fillId="0" borderId="5" xfId="0" applyNumberForma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5" xfId="0" applyFont="1" applyBorder="1" applyAlignment="1" applyProtection="1">
      <alignment horizontal="center" vertical="center"/>
      <protection locked="0"/>
    </xf>
    <xf numFmtId="0" fontId="6" fillId="4" borderId="41" xfId="0" applyFont="1" applyFill="1" applyBorder="1" applyAlignment="1" applyProtection="1">
      <alignment horizontal="center" vertical="center"/>
      <protection locked="0"/>
    </xf>
    <xf numFmtId="0" fontId="6" fillId="4" borderId="42" xfId="0" applyFont="1" applyFill="1" applyBorder="1" applyAlignment="1" applyProtection="1">
      <alignment horizontal="center" vertical="center"/>
      <protection locked="0"/>
    </xf>
    <xf numFmtId="0" fontId="6" fillId="4" borderId="40" xfId="0" applyFont="1" applyFill="1" applyBorder="1" applyAlignment="1" applyProtection="1">
      <alignment horizontal="center" vertical="center"/>
      <protection locked="0"/>
    </xf>
    <xf numFmtId="0" fontId="6" fillId="0" borderId="9" xfId="0" applyFont="1" applyBorder="1" applyAlignment="1">
      <alignment horizontal="center" vertical="center"/>
    </xf>
    <xf numFmtId="0" fontId="6" fillId="4" borderId="18" xfId="0" applyFont="1" applyFill="1" applyBorder="1" applyAlignment="1" applyProtection="1">
      <alignment horizontal="center" vertical="center"/>
      <protection locked="0"/>
    </xf>
    <xf numFmtId="0" fontId="6" fillId="4" borderId="0" xfId="0" applyFont="1" applyFill="1" applyAlignment="1" applyProtection="1">
      <alignment horizontal="center" vertical="center"/>
      <protection locked="0"/>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6" fillId="0" borderId="34" xfId="0" applyFont="1" applyBorder="1" applyAlignment="1">
      <alignment horizontal="left" vertical="center"/>
    </xf>
    <xf numFmtId="0" fontId="6" fillId="4" borderId="43" xfId="0" applyFont="1" applyFill="1" applyBorder="1" applyAlignment="1" applyProtection="1">
      <alignment horizontal="left"/>
      <protection locked="0"/>
    </xf>
    <xf numFmtId="0" fontId="6" fillId="4" borderId="44" xfId="0" applyFont="1" applyFill="1" applyBorder="1" applyAlignment="1" applyProtection="1">
      <alignment horizontal="left"/>
      <protection locked="0"/>
    </xf>
    <xf numFmtId="0" fontId="6" fillId="4" borderId="34" xfId="0" applyFont="1" applyFill="1" applyBorder="1" applyAlignment="1" applyProtection="1">
      <alignment horizontal="left"/>
      <protection locked="0"/>
    </xf>
    <xf numFmtId="0" fontId="6" fillId="0" borderId="0" xfId="0" applyFont="1" applyAlignment="1">
      <alignment horizontal="left" vertical="top" wrapText="1"/>
    </xf>
    <xf numFmtId="0" fontId="6" fillId="0" borderId="45" xfId="0" applyFont="1" applyBorder="1" applyAlignment="1">
      <alignment horizontal="lef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32" fillId="0" borderId="0" xfId="0" applyFont="1" applyAlignment="1">
      <alignment horizontal="left" vertical="top" wrapText="1"/>
    </xf>
    <xf numFmtId="0" fontId="5" fillId="0" borderId="27" xfId="0" applyFont="1" applyBorder="1" applyAlignment="1">
      <alignment horizontal="center" vertical="center"/>
    </xf>
    <xf numFmtId="0" fontId="0" fillId="3" borderId="46" xfId="0" applyFill="1" applyBorder="1" applyAlignment="1">
      <alignment horizontal="center" vertical="center" wrapText="1"/>
    </xf>
    <xf numFmtId="0" fontId="0" fillId="3" borderId="47" xfId="0" applyFill="1" applyBorder="1" applyAlignment="1">
      <alignment horizontal="center" vertical="center" wrapText="1"/>
    </xf>
    <xf numFmtId="0" fontId="0" fillId="3" borderId="48"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28" xfId="0" applyFill="1" applyBorder="1" applyAlignment="1">
      <alignment horizontal="center" vertical="center" wrapText="1"/>
    </xf>
    <xf numFmtId="0" fontId="0" fillId="4" borderId="30" xfId="0" applyFill="1" applyBorder="1" applyAlignment="1" applyProtection="1">
      <alignment horizontal="center"/>
      <protection locked="0"/>
    </xf>
    <xf numFmtId="0" fontId="0" fillId="4" borderId="31" xfId="0" applyFill="1" applyBorder="1" applyAlignment="1" applyProtection="1">
      <alignment horizontal="center"/>
      <protection locked="0"/>
    </xf>
    <xf numFmtId="0" fontId="0" fillId="4" borderId="33" xfId="0" applyFill="1" applyBorder="1" applyAlignment="1" applyProtection="1">
      <alignment horizontal="center"/>
      <protection locked="0"/>
    </xf>
    <xf numFmtId="0" fontId="0" fillId="3" borderId="31" xfId="0" applyFill="1" applyBorder="1" applyAlignment="1">
      <alignment horizontal="center"/>
    </xf>
    <xf numFmtId="0" fontId="0" fillId="3" borderId="32" xfId="0" applyFill="1" applyBorder="1" applyAlignment="1">
      <alignment horizontal="center"/>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0" fontId="15" fillId="0" borderId="25" xfId="0" applyFont="1" applyBorder="1" applyAlignment="1">
      <alignment horizontal="left" vertical="top" wrapText="1"/>
    </xf>
    <xf numFmtId="0" fontId="15" fillId="0" borderId="18" xfId="0" applyFont="1" applyBorder="1" applyAlignment="1">
      <alignment horizontal="left" vertical="top" wrapText="1"/>
    </xf>
    <xf numFmtId="0" fontId="15" fillId="0" borderId="0" xfId="0" applyFont="1" applyAlignment="1">
      <alignment horizontal="left" vertical="top" wrapText="1"/>
    </xf>
    <xf numFmtId="0" fontId="15" fillId="0" borderId="19"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3" fillId="0" borderId="15" xfId="0" applyFont="1" applyBorder="1" applyAlignment="1">
      <alignment horizontal="left" vertical="top"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3" fillId="0" borderId="0" xfId="0" applyFont="1" applyAlignment="1">
      <alignment horizontal="left" vertical="top" wrapText="1"/>
    </xf>
    <xf numFmtId="0" fontId="13" fillId="0" borderId="19" xfId="0" applyFont="1" applyBorder="1" applyAlignment="1">
      <alignment horizontal="left" vertical="top" wrapText="1"/>
    </xf>
    <xf numFmtId="0" fontId="13" fillId="0" borderId="20" xfId="0" applyFont="1" applyBorder="1" applyAlignment="1">
      <alignment horizontal="left" vertical="top" wrapText="1"/>
    </xf>
    <xf numFmtId="0" fontId="13" fillId="0" borderId="21" xfId="0" applyFont="1" applyBorder="1" applyAlignment="1">
      <alignment horizontal="left" vertical="top" wrapText="1"/>
    </xf>
    <xf numFmtId="0" fontId="13" fillId="0" borderId="22" xfId="0" applyFont="1" applyBorder="1" applyAlignment="1">
      <alignment horizontal="lef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13" xfId="0" applyFont="1" applyFill="1" applyBorder="1" applyAlignment="1" applyProtection="1">
      <alignment horizontal="center" vertical="center"/>
      <protection locked="0"/>
    </xf>
    <xf numFmtId="164" fontId="9" fillId="6" borderId="9" xfId="0" applyNumberFormat="1" applyFont="1" applyFill="1" applyBorder="1" applyAlignment="1" applyProtection="1">
      <alignment horizontal="center" vertical="center"/>
      <protection locked="0"/>
    </xf>
    <xf numFmtId="0" fontId="9" fillId="0" borderId="9" xfId="0" applyFont="1" applyBorder="1" applyAlignment="1">
      <alignment horizontal="center" vertical="center" wrapText="1"/>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0" borderId="8" xfId="0" applyFont="1" applyBorder="1" applyAlignment="1">
      <alignment horizontal="center" vertical="center" wrapText="1"/>
    </xf>
    <xf numFmtId="164" fontId="9" fillId="6" borderId="9" xfId="0" applyNumberFormat="1" applyFont="1" applyFill="1" applyBorder="1" applyAlignment="1">
      <alignment horizontal="center" vertical="center"/>
    </xf>
    <xf numFmtId="0" fontId="12" fillId="0" borderId="9" xfId="0" applyFont="1" applyBorder="1" applyAlignment="1">
      <alignment horizontal="center" vertical="center" wrapText="1"/>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6" fillId="4" borderId="1" xfId="0" applyFont="1" applyFill="1" applyBorder="1" applyAlignment="1" applyProtection="1">
      <alignment horizontal="center" vertical="center"/>
      <protection locked="0"/>
    </xf>
    <xf numFmtId="0" fontId="6" fillId="4" borderId="2" xfId="0" applyFont="1" applyFill="1" applyBorder="1" applyAlignment="1" applyProtection="1">
      <alignment horizontal="center" vertical="center"/>
      <protection locked="0"/>
    </xf>
    <xf numFmtId="0" fontId="6" fillId="4" borderId="8" xfId="0" applyFont="1" applyFill="1" applyBorder="1" applyAlignment="1" applyProtection="1">
      <alignment horizontal="center" vertical="center"/>
      <protection locked="0"/>
    </xf>
    <xf numFmtId="0" fontId="6" fillId="4" borderId="9" xfId="0" applyFont="1" applyFill="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42"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36" fillId="0" borderId="9" xfId="0" applyFont="1" applyBorder="1" applyAlignment="1">
      <alignment horizontal="center" vertical="top" wrapText="1"/>
    </xf>
    <xf numFmtId="0" fontId="36" fillId="0" borderId="11" xfId="0" applyFont="1" applyBorder="1" applyAlignment="1">
      <alignment horizontal="center" vertical="top" wrapText="1"/>
    </xf>
    <xf numFmtId="0" fontId="36" fillId="0" borderId="13" xfId="0" applyFont="1" applyBorder="1" applyAlignment="1">
      <alignment horizontal="center" vertical="top" wrapText="1"/>
    </xf>
    <xf numFmtId="0" fontId="36" fillId="0" borderId="9" xfId="0" applyFont="1" applyBorder="1" applyAlignment="1">
      <alignment vertical="top" wrapText="1"/>
    </xf>
    <xf numFmtId="0" fontId="0" fillId="0" borderId="0" xfId="0" applyAlignment="1">
      <alignment horizontal="center" vertical="center" wrapText="1"/>
    </xf>
    <xf numFmtId="0" fontId="39" fillId="0" borderId="9" xfId="0" applyFont="1" applyBorder="1" applyAlignment="1">
      <alignment horizontal="center" vertical="center" wrapText="1"/>
    </xf>
    <xf numFmtId="0" fontId="39" fillId="0" borderId="9" xfId="0" applyFont="1" applyBorder="1" applyAlignment="1">
      <alignment horizontal="left" vertical="top" wrapText="1"/>
    </xf>
  </cellXfs>
  <cellStyles count="1">
    <cellStyle name="Standard" xfId="0" builtinId="0"/>
  </cellStyles>
  <dxfs count="147">
    <dxf>
      <fill>
        <patternFill>
          <bgColor theme="4" tint="0.59996337778862885"/>
        </patternFill>
      </fill>
    </dxf>
    <dxf>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0" indent="0" justifyLastLine="0" shrinkToFit="0" readingOrder="0"/>
    </dxf>
    <dxf>
      <alignment horizontal="general" vertical="bottom" textRotation="0" wrapText="0" indent="0" justifyLastLine="0" shrinkToFit="0" readingOrder="0"/>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5"/>
        <color rgb="FF000000"/>
        <name val="Arial"/>
        <scheme val="none"/>
      </font>
      <numFmt numFmtId="0" formatCode="Genera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5"/>
        <color rgb="FF000000"/>
        <name val="Arial"/>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5"/>
        <color rgb="FF000000"/>
        <name val="Arial"/>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5"/>
        <color rgb="FF000000"/>
        <name val="Arial"/>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5"/>
        <color rgb="FF000000"/>
        <name val="Arial"/>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5"/>
        <color rgb="FF000000"/>
        <name val="Arial"/>
        <scheme val="none"/>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5"/>
        <color rgb="FF000000"/>
        <name val="Arial"/>
        <scheme val="none"/>
      </font>
      <numFmt numFmtId="0" formatCode="General"/>
      <alignment horizontal="center"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rgb="FF000000"/>
        <name val="Verdana"/>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theme="4" tint="0.59999389629810485"/>
        </patternFill>
      </fill>
      <alignment horizontal="right" vertical="bottom" textRotation="0" wrapText="0" indent="0" justifyLastLine="0" shrinkToFit="0" readingOrder="0"/>
    </dxf>
    <dxf>
      <fill>
        <patternFill patternType="solid">
          <fgColor indexed="64"/>
          <bgColor theme="4" tint="0.59999389629810485"/>
        </patternFill>
      </fill>
      <alignment horizontal="right" vertical="bottom" textRotation="0" wrapText="0" indent="0" justifyLastLine="0" shrinkToFit="0" readingOrder="0"/>
    </dxf>
    <dxf>
      <fill>
        <patternFill patternType="solid">
          <fgColor indexed="64"/>
          <bgColor theme="4" tint="0.59999389629810485"/>
        </patternFill>
      </fill>
      <alignment horizontal="right"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righ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0"/>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2"/>
        <color theme="0"/>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2"/>
        <color theme="0"/>
        <name val="Calibri"/>
        <scheme val="minor"/>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1"/>
          <c:order val="0"/>
          <c:tx>
            <c:v>Anlagenkennlinie</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'2'!$I$117:$I$134</c:f>
              <c:numCache>
                <c:formatCode>0.00</c:formatCode>
                <c:ptCount val="18"/>
                <c:pt idx="0">
                  <c:v>0</c:v>
                </c:pt>
                <c:pt idx="1">
                  <c:v>11.426083199999999</c:v>
                </c:pt>
                <c:pt idx="2">
                  <c:v>13.058380799999998</c:v>
                </c:pt>
                <c:pt idx="3">
                  <c:v>14.690678399999996</c:v>
                </c:pt>
                <c:pt idx="4">
                  <c:v>16.322975999999997</c:v>
                </c:pt>
                <c:pt idx="5">
                  <c:v>17.955273599999995</c:v>
                </c:pt>
                <c:pt idx="6">
                  <c:v>19.587571199999999</c:v>
                </c:pt>
                <c:pt idx="7">
                  <c:v>21.2198688</c:v>
                </c:pt>
                <c:pt idx="8">
                  <c:v>22.852166400000002</c:v>
                </c:pt>
                <c:pt idx="9">
                  <c:v>24.484464000000003</c:v>
                </c:pt>
                <c:pt idx="10">
                  <c:v>26.116761600000004</c:v>
                </c:pt>
                <c:pt idx="11">
                  <c:v>27.749059200000005</c:v>
                </c:pt>
                <c:pt idx="12">
                  <c:v>29.381356800000006</c:v>
                </c:pt>
                <c:pt idx="13">
                  <c:v>31.013654400000004</c:v>
                </c:pt>
                <c:pt idx="14">
                  <c:v>32.645952000000001</c:v>
                </c:pt>
                <c:pt idx="15">
                  <c:v>34.278249600000002</c:v>
                </c:pt>
                <c:pt idx="16">
                  <c:v>35.910547200000011</c:v>
                </c:pt>
                <c:pt idx="17">
                  <c:v>37.542844800000012</c:v>
                </c:pt>
              </c:numCache>
            </c:numRef>
          </c:xVal>
          <c:yVal>
            <c:numRef>
              <c:f>'2'!$J$117:$J$134</c:f>
              <c:numCache>
                <c:formatCode>0.0</c:formatCode>
                <c:ptCount val="18"/>
                <c:pt idx="0">
                  <c:v>3</c:v>
                </c:pt>
                <c:pt idx="1">
                  <c:v>3.1711411556413971</c:v>
                </c:pt>
                <c:pt idx="2">
                  <c:v>3.2235313053275387</c:v>
                </c:pt>
                <c:pt idx="3">
                  <c:v>3.2829068083051665</c:v>
                </c:pt>
                <c:pt idx="4">
                  <c:v>3.3492676645742794</c:v>
                </c:pt>
                <c:pt idx="5">
                  <c:v>3.4226138741348784</c:v>
                </c:pt>
                <c:pt idx="6">
                  <c:v>3.5029454369869626</c:v>
                </c:pt>
                <c:pt idx="7">
                  <c:v>3.5902623531305324</c:v>
                </c:pt>
                <c:pt idx="8">
                  <c:v>3.6845646225655884</c:v>
                </c:pt>
                <c:pt idx="9">
                  <c:v>3.785852245292129</c:v>
                </c:pt>
                <c:pt idx="10">
                  <c:v>3.8941252213101558</c:v>
                </c:pt>
                <c:pt idx="11">
                  <c:v>4.0093835506196687</c:v>
                </c:pt>
                <c:pt idx="12">
                  <c:v>4.1316272332206658</c:v>
                </c:pt>
                <c:pt idx="13">
                  <c:v>4.26085626911315</c:v>
                </c:pt>
                <c:pt idx="14">
                  <c:v>4.3970706582971193</c:v>
                </c:pt>
                <c:pt idx="15">
                  <c:v>4.5402704007725738</c:v>
                </c:pt>
                <c:pt idx="16">
                  <c:v>4.6904554965395135</c:v>
                </c:pt>
                <c:pt idx="17">
                  <c:v>4.8476259455979402</c:v>
                </c:pt>
              </c:numCache>
            </c:numRef>
          </c:yVal>
          <c:smooth val="0"/>
          <c:extLst>
            <c:ext xmlns:c16="http://schemas.microsoft.com/office/drawing/2014/chart" uri="{C3380CC4-5D6E-409C-BE32-E72D297353CC}">
              <c16:uniqueId val="{00000000-A753-4CA7-AF4B-0378A92F8A00}"/>
            </c:ext>
          </c:extLst>
        </c:ser>
        <c:ser>
          <c:idx val="2"/>
          <c:order val="1"/>
          <c:tx>
            <c:v>BP</c:v>
          </c:tx>
          <c:spPr>
            <a:ln w="19050" cap="rnd">
              <a:noFill/>
              <a:round/>
            </a:ln>
            <a:effectLst/>
          </c:spPr>
          <c:marker>
            <c:symbol val="diamond"/>
            <c:size val="7"/>
            <c:spPr>
              <a:solidFill>
                <a:schemeClr val="accent1">
                  <a:lumMod val="75000"/>
                </a:schemeClr>
              </a:solidFill>
              <a:ln w="9525">
                <a:noFill/>
              </a:ln>
              <a:effectLst/>
            </c:spPr>
          </c:marker>
          <c:dPt>
            <c:idx val="0"/>
            <c:marker>
              <c:symbol val="diamond"/>
              <c:size val="8"/>
              <c:spPr>
                <a:solidFill>
                  <a:schemeClr val="accent1">
                    <a:lumMod val="75000"/>
                  </a:schemeClr>
                </a:solidFill>
                <a:ln w="9525">
                  <a:noFill/>
                </a:ln>
                <a:effectLst/>
              </c:spPr>
            </c:marker>
            <c:bubble3D val="0"/>
            <c:extLst>
              <c:ext xmlns:c16="http://schemas.microsoft.com/office/drawing/2014/chart" uri="{C3380CC4-5D6E-409C-BE32-E72D297353CC}">
                <c16:uniqueId val="{00000002-A753-4CA7-AF4B-0378A92F8A00}"/>
              </c:ext>
            </c:extLst>
          </c:dPt>
          <c:xVal>
            <c:numRef>
              <c:f>'2'!$I$156</c:f>
              <c:numCache>
                <c:formatCode>0.0</c:formatCode>
                <c:ptCount val="1"/>
                <c:pt idx="0">
                  <c:v>13</c:v>
                </c:pt>
              </c:numCache>
            </c:numRef>
          </c:xVal>
          <c:yVal>
            <c:numRef>
              <c:f>'2'!$J$156</c:f>
              <c:numCache>
                <c:formatCode>0.00</c:formatCode>
                <c:ptCount val="1"/>
                <c:pt idx="0">
                  <c:v>3.22153706651557</c:v>
                </c:pt>
              </c:numCache>
            </c:numRef>
          </c:yVal>
          <c:smooth val="0"/>
          <c:extLst>
            <c:ext xmlns:c16="http://schemas.microsoft.com/office/drawing/2014/chart" uri="{C3380CC4-5D6E-409C-BE32-E72D297353CC}">
              <c16:uniqueId val="{00000003-A753-4CA7-AF4B-0378A92F8A00}"/>
            </c:ext>
          </c:extLst>
        </c:ser>
        <c:ser>
          <c:idx val="0"/>
          <c:order val="2"/>
          <c:tx>
            <c:v>Pumpenkennlinie</c:v>
          </c:tx>
          <c:spPr>
            <a:ln w="19050" cap="rnd">
              <a:solidFill>
                <a:schemeClr val="accent1"/>
              </a:solidFill>
              <a:round/>
            </a:ln>
            <a:effectLst/>
          </c:spPr>
          <c:marker>
            <c:symbol val="circle"/>
            <c:size val="5"/>
            <c:spPr>
              <a:noFill/>
              <a:ln w="9525">
                <a:noFill/>
              </a:ln>
              <a:effectLst/>
            </c:spPr>
          </c:marker>
          <c:xVal>
            <c:numRef>
              <c:f>'2'!$M$139:$M$151</c:f>
              <c:numCache>
                <c:formatCode>General</c:formatCode>
                <c:ptCount val="13"/>
                <c:pt idx="0">
                  <c:v>0</c:v>
                </c:pt>
                <c:pt idx="1">
                  <c:v>5</c:v>
                </c:pt>
                <c:pt idx="2">
                  <c:v>10</c:v>
                </c:pt>
                <c:pt idx="3">
                  <c:v>12.7</c:v>
                </c:pt>
                <c:pt idx="4">
                  <c:v>19.8</c:v>
                </c:pt>
                <c:pt idx="5">
                  <c:v>23</c:v>
                </c:pt>
                <c:pt idx="6">
                  <c:v>26.5</c:v>
                </c:pt>
                <c:pt idx="7">
                  <c:v>26.5</c:v>
                </c:pt>
                <c:pt idx="8">
                  <c:v>26.5</c:v>
                </c:pt>
                <c:pt idx="9">
                  <c:v>26.5</c:v>
                </c:pt>
                <c:pt idx="10">
                  <c:v>26.5</c:v>
                </c:pt>
                <c:pt idx="11">
                  <c:v>26.5</c:v>
                </c:pt>
                <c:pt idx="12">
                  <c:v>26.5</c:v>
                </c:pt>
              </c:numCache>
            </c:numRef>
          </c:xVal>
          <c:yVal>
            <c:numRef>
              <c:f>'2'!$N$139:$N$151</c:f>
              <c:numCache>
                <c:formatCode>General</c:formatCode>
                <c:ptCount val="13"/>
                <c:pt idx="0">
                  <c:v>11.9</c:v>
                </c:pt>
                <c:pt idx="1">
                  <c:v>10.5</c:v>
                </c:pt>
                <c:pt idx="2">
                  <c:v>8.8000000000000007</c:v>
                </c:pt>
                <c:pt idx="3">
                  <c:v>7.8</c:v>
                </c:pt>
                <c:pt idx="4">
                  <c:v>5</c:v>
                </c:pt>
                <c:pt idx="5">
                  <c:v>3.6</c:v>
                </c:pt>
                <c:pt idx="6">
                  <c:v>1.9</c:v>
                </c:pt>
                <c:pt idx="7">
                  <c:v>1.9</c:v>
                </c:pt>
                <c:pt idx="8">
                  <c:v>1.9</c:v>
                </c:pt>
                <c:pt idx="9">
                  <c:v>1.9</c:v>
                </c:pt>
                <c:pt idx="10">
                  <c:v>1.9</c:v>
                </c:pt>
                <c:pt idx="11">
                  <c:v>1.9</c:v>
                </c:pt>
                <c:pt idx="12">
                  <c:v>1.9</c:v>
                </c:pt>
              </c:numCache>
            </c:numRef>
          </c:yVal>
          <c:smooth val="0"/>
          <c:extLst>
            <c:ext xmlns:c16="http://schemas.microsoft.com/office/drawing/2014/chart" uri="{C3380CC4-5D6E-409C-BE32-E72D297353CC}">
              <c16:uniqueId val="{00000001-A10B-48DA-89BA-556A80C87E65}"/>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b="1"/>
                  <a:t>Fördermenge [m</a:t>
                </a:r>
                <a:r>
                  <a:rPr lang="de-DE" sz="1200" b="1" baseline="30000"/>
                  <a:t>3</a:t>
                </a:r>
                <a:r>
                  <a:rPr lang="de-DE" sz="1200" b="1"/>
                  <a: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200" b="1"/>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3"/>
            <c:dispRSqr val="0"/>
            <c:dispEq val="1"/>
            <c:trendlineLbl>
              <c:layout>
                <c:manualLayout>
                  <c:x val="-0.18724189854627873"/>
                  <c:y val="-0.11044016242383634"/>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'5'!$A$193:$A$209</c:f>
              <c:numCache>
                <c:formatCode>General</c:formatCode>
                <c:ptCount val="17"/>
                <c:pt idx="0">
                  <c:v>0</c:v>
                </c:pt>
                <c:pt idx="1">
                  <c:v>16.399999999999999</c:v>
                </c:pt>
                <c:pt idx="2">
                  <c:v>32.18</c:v>
                </c:pt>
                <c:pt idx="3">
                  <c:v>48.62</c:v>
                </c:pt>
                <c:pt idx="4">
                  <c:v>64.8</c:v>
                </c:pt>
                <c:pt idx="5">
                  <c:v>80.959999999999994</c:v>
                </c:pt>
                <c:pt idx="6">
                  <c:v>97.26</c:v>
                </c:pt>
                <c:pt idx="7">
                  <c:v>113.81</c:v>
                </c:pt>
                <c:pt idx="8">
                  <c:v>129.55000000000001</c:v>
                </c:pt>
                <c:pt idx="9">
                  <c:v>144.97</c:v>
                </c:pt>
              </c:numCache>
            </c:numRef>
          </c:xVal>
          <c:yVal>
            <c:numRef>
              <c:f>'5'!$B$193:$B$209</c:f>
              <c:numCache>
                <c:formatCode>General</c:formatCode>
                <c:ptCount val="17"/>
                <c:pt idx="0">
                  <c:v>11.73</c:v>
                </c:pt>
                <c:pt idx="1">
                  <c:v>11.19</c:v>
                </c:pt>
                <c:pt idx="2">
                  <c:v>10.46</c:v>
                </c:pt>
                <c:pt idx="3">
                  <c:v>9.5</c:v>
                </c:pt>
                <c:pt idx="4">
                  <c:v>8.41</c:v>
                </c:pt>
                <c:pt idx="5">
                  <c:v>7.21</c:v>
                </c:pt>
                <c:pt idx="6">
                  <c:v>5.98</c:v>
                </c:pt>
                <c:pt idx="7">
                  <c:v>4.78</c:v>
                </c:pt>
                <c:pt idx="8">
                  <c:v>3.8</c:v>
                </c:pt>
                <c:pt idx="9">
                  <c:v>3.09</c:v>
                </c:pt>
              </c:numCache>
            </c:numRef>
          </c:yVal>
          <c:smooth val="0"/>
          <c:extLst>
            <c:ext xmlns:c16="http://schemas.microsoft.com/office/drawing/2014/chart" uri="{C3380CC4-5D6E-409C-BE32-E72D297353CC}">
              <c16:uniqueId val="{00000000-C48B-4FA2-A917-82B07E2CDCB3}"/>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4"/>
            <c:dispRSqr val="0"/>
            <c:dispEq val="1"/>
            <c:trendlineLbl>
              <c:layout>
                <c:manualLayout>
                  <c:x val="-0.18724189854627873"/>
                  <c:y val="-0.11044016242383634"/>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'5'!$A$215:$A$231</c:f>
              <c:numCache>
                <c:formatCode>General</c:formatCode>
                <c:ptCount val="17"/>
                <c:pt idx="0">
                  <c:v>0</c:v>
                </c:pt>
                <c:pt idx="1">
                  <c:v>25</c:v>
                </c:pt>
                <c:pt idx="2">
                  <c:v>50</c:v>
                </c:pt>
                <c:pt idx="3">
                  <c:v>75</c:v>
                </c:pt>
                <c:pt idx="4">
                  <c:v>100</c:v>
                </c:pt>
                <c:pt idx="5">
                  <c:v>125</c:v>
                </c:pt>
                <c:pt idx="6">
                  <c:v>150</c:v>
                </c:pt>
              </c:numCache>
            </c:numRef>
          </c:xVal>
          <c:yVal>
            <c:numRef>
              <c:f>'5'!$B$215:$B$231</c:f>
              <c:numCache>
                <c:formatCode>General</c:formatCode>
                <c:ptCount val="17"/>
                <c:pt idx="0">
                  <c:v>14.8</c:v>
                </c:pt>
                <c:pt idx="1">
                  <c:v>13.8</c:v>
                </c:pt>
                <c:pt idx="2">
                  <c:v>12.65</c:v>
                </c:pt>
                <c:pt idx="3">
                  <c:v>11.25</c:v>
                </c:pt>
                <c:pt idx="4">
                  <c:v>9.4700000000000006</c:v>
                </c:pt>
                <c:pt idx="5">
                  <c:v>7.35</c:v>
                </c:pt>
                <c:pt idx="6">
                  <c:v>5.0999999999999996</c:v>
                </c:pt>
              </c:numCache>
            </c:numRef>
          </c:yVal>
          <c:smooth val="0"/>
          <c:extLst>
            <c:ext xmlns:c16="http://schemas.microsoft.com/office/drawing/2014/chart" uri="{C3380CC4-5D6E-409C-BE32-E72D297353CC}">
              <c16:uniqueId val="{00000000-85B1-40C2-BB0E-3B54086B657A}"/>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4"/>
            <c:dispRSqr val="0"/>
            <c:dispEq val="1"/>
            <c:trendlineLbl>
              <c:layout>
                <c:manualLayout>
                  <c:x val="0.11019832384817507"/>
                  <c:y val="-0.51036642358937279"/>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'5'!$A$238:$A$254</c:f>
              <c:numCache>
                <c:formatCode>General</c:formatCode>
                <c:ptCount val="17"/>
                <c:pt idx="0">
                  <c:v>0</c:v>
                </c:pt>
                <c:pt idx="1">
                  <c:v>37.15</c:v>
                </c:pt>
                <c:pt idx="2">
                  <c:v>70.989999999999995</c:v>
                </c:pt>
                <c:pt idx="3">
                  <c:v>91.44</c:v>
                </c:pt>
                <c:pt idx="4">
                  <c:v>108.9</c:v>
                </c:pt>
                <c:pt idx="5">
                  <c:v>126.07</c:v>
                </c:pt>
                <c:pt idx="6">
                  <c:v>144.5</c:v>
                </c:pt>
              </c:numCache>
            </c:numRef>
          </c:xVal>
          <c:yVal>
            <c:numRef>
              <c:f>'5'!$B$238:$B$254</c:f>
              <c:numCache>
                <c:formatCode>General</c:formatCode>
                <c:ptCount val="17"/>
                <c:pt idx="0">
                  <c:v>18.03</c:v>
                </c:pt>
                <c:pt idx="1">
                  <c:v>16.7</c:v>
                </c:pt>
                <c:pt idx="2">
                  <c:v>14.94</c:v>
                </c:pt>
                <c:pt idx="3">
                  <c:v>13.66</c:v>
                </c:pt>
                <c:pt idx="4">
                  <c:v>12.23</c:v>
                </c:pt>
                <c:pt idx="5">
                  <c:v>10.66</c:v>
                </c:pt>
                <c:pt idx="6">
                  <c:v>8.86</c:v>
                </c:pt>
              </c:numCache>
            </c:numRef>
          </c:yVal>
          <c:smooth val="0"/>
          <c:extLst>
            <c:ext xmlns:c16="http://schemas.microsoft.com/office/drawing/2014/chart" uri="{C3380CC4-5D6E-409C-BE32-E72D297353CC}">
              <c16:uniqueId val="{00000000-2076-4ED2-9230-6C3DB5E48E4A}"/>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layout>
                <c:manualLayout>
                  <c:x val="-0.22121529547907837"/>
                  <c:y val="-0.14731894856578517"/>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'5'!$A$259:$A$275</c:f>
              <c:numCache>
                <c:formatCode>General</c:formatCode>
                <c:ptCount val="17"/>
                <c:pt idx="0">
                  <c:v>0</c:v>
                </c:pt>
                <c:pt idx="1">
                  <c:v>25</c:v>
                </c:pt>
                <c:pt idx="2">
                  <c:v>50</c:v>
                </c:pt>
                <c:pt idx="3">
                  <c:v>75</c:v>
                </c:pt>
                <c:pt idx="4">
                  <c:v>100</c:v>
                </c:pt>
                <c:pt idx="5">
                  <c:v>125</c:v>
                </c:pt>
                <c:pt idx="6">
                  <c:v>150</c:v>
                </c:pt>
              </c:numCache>
            </c:numRef>
          </c:xVal>
          <c:yVal>
            <c:numRef>
              <c:f>'5'!$B$259:$B$275</c:f>
              <c:numCache>
                <c:formatCode>General</c:formatCode>
                <c:ptCount val="17"/>
                <c:pt idx="0">
                  <c:v>21.65</c:v>
                </c:pt>
                <c:pt idx="1">
                  <c:v>21.15</c:v>
                </c:pt>
                <c:pt idx="2">
                  <c:v>20.25</c:v>
                </c:pt>
                <c:pt idx="3">
                  <c:v>19</c:v>
                </c:pt>
                <c:pt idx="4">
                  <c:v>17.45</c:v>
                </c:pt>
                <c:pt idx="5">
                  <c:v>15.55</c:v>
                </c:pt>
                <c:pt idx="6">
                  <c:v>13.45</c:v>
                </c:pt>
              </c:numCache>
            </c:numRef>
          </c:yVal>
          <c:smooth val="0"/>
          <c:extLst>
            <c:ext xmlns:c16="http://schemas.microsoft.com/office/drawing/2014/chart" uri="{C3380CC4-5D6E-409C-BE32-E72D297353CC}">
              <c16:uniqueId val="{00000000-2A31-488E-A3B3-C9FFEE2F1483}"/>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3"/>
            <c:dispRSqr val="0"/>
            <c:dispEq val="1"/>
            <c:trendlineLbl>
              <c:layout>
                <c:manualLayout>
                  <c:x val="-0.22121529547907837"/>
                  <c:y val="-0.14731894856578517"/>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'5'!$A$281:$A$297</c:f>
              <c:numCache>
                <c:formatCode>General</c:formatCode>
                <c:ptCount val="17"/>
                <c:pt idx="0">
                  <c:v>0</c:v>
                </c:pt>
                <c:pt idx="1">
                  <c:v>25</c:v>
                </c:pt>
                <c:pt idx="2">
                  <c:v>50</c:v>
                </c:pt>
                <c:pt idx="3">
                  <c:v>75</c:v>
                </c:pt>
                <c:pt idx="4">
                  <c:v>100</c:v>
                </c:pt>
              </c:numCache>
            </c:numRef>
          </c:xVal>
          <c:yVal>
            <c:numRef>
              <c:f>'5'!$B$281:$B$297</c:f>
              <c:numCache>
                <c:formatCode>General</c:formatCode>
                <c:ptCount val="17"/>
                <c:pt idx="0">
                  <c:v>24.2</c:v>
                </c:pt>
                <c:pt idx="1">
                  <c:v>23.82</c:v>
                </c:pt>
                <c:pt idx="2">
                  <c:v>23</c:v>
                </c:pt>
                <c:pt idx="3">
                  <c:v>21.85</c:v>
                </c:pt>
                <c:pt idx="4">
                  <c:v>20.5</c:v>
                </c:pt>
              </c:numCache>
            </c:numRef>
          </c:yVal>
          <c:smooth val="0"/>
          <c:extLst>
            <c:ext xmlns:c16="http://schemas.microsoft.com/office/drawing/2014/chart" uri="{C3380CC4-5D6E-409C-BE32-E72D297353CC}">
              <c16:uniqueId val="{00000000-799F-413A-A519-A00EC72EF2EA}"/>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layout>
                <c:manualLayout>
                  <c:x val="-0.29372095593313996"/>
                  <c:y val="-0.27823077171730121"/>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'5'!$A$83:$A$99</c:f>
              <c:numCache>
                <c:formatCode>General</c:formatCode>
                <c:ptCount val="17"/>
                <c:pt idx="0">
                  <c:v>0</c:v>
                </c:pt>
                <c:pt idx="1">
                  <c:v>1.4</c:v>
                </c:pt>
                <c:pt idx="2">
                  <c:v>2.1</c:v>
                </c:pt>
                <c:pt idx="3">
                  <c:v>3.6</c:v>
                </c:pt>
                <c:pt idx="4">
                  <c:v>5.4</c:v>
                </c:pt>
                <c:pt idx="5">
                  <c:v>6.6</c:v>
                </c:pt>
                <c:pt idx="6">
                  <c:v>8.1999999999999993</c:v>
                </c:pt>
                <c:pt idx="7">
                  <c:v>9.5</c:v>
                </c:pt>
                <c:pt idx="8">
                  <c:v>10.6</c:v>
                </c:pt>
                <c:pt idx="9">
                  <c:v>11.8</c:v>
                </c:pt>
                <c:pt idx="10">
                  <c:v>12.5</c:v>
                </c:pt>
                <c:pt idx="11">
                  <c:v>13.9</c:v>
                </c:pt>
                <c:pt idx="12">
                  <c:v>14.7</c:v>
                </c:pt>
              </c:numCache>
            </c:numRef>
          </c:xVal>
          <c:yVal>
            <c:numRef>
              <c:f>'5'!$B$83:$B$99</c:f>
              <c:numCache>
                <c:formatCode>General</c:formatCode>
                <c:ptCount val="17"/>
                <c:pt idx="0">
                  <c:v>25.1</c:v>
                </c:pt>
                <c:pt idx="1">
                  <c:v>24.4</c:v>
                </c:pt>
                <c:pt idx="2">
                  <c:v>23.9</c:v>
                </c:pt>
                <c:pt idx="3">
                  <c:v>22.6</c:v>
                </c:pt>
                <c:pt idx="4">
                  <c:v>20.7</c:v>
                </c:pt>
                <c:pt idx="5">
                  <c:v>19.2</c:v>
                </c:pt>
                <c:pt idx="6">
                  <c:v>16.899999999999999</c:v>
                </c:pt>
                <c:pt idx="7">
                  <c:v>14.7</c:v>
                </c:pt>
                <c:pt idx="8">
                  <c:v>12.7</c:v>
                </c:pt>
                <c:pt idx="9">
                  <c:v>10.199999999999999</c:v>
                </c:pt>
                <c:pt idx="10">
                  <c:v>8.8000000000000007</c:v>
                </c:pt>
                <c:pt idx="11">
                  <c:v>5.4</c:v>
                </c:pt>
                <c:pt idx="12">
                  <c:v>3.5</c:v>
                </c:pt>
              </c:numCache>
            </c:numRef>
          </c:yVal>
          <c:smooth val="0"/>
          <c:extLst>
            <c:ext xmlns:c16="http://schemas.microsoft.com/office/drawing/2014/chart" uri="{C3380CC4-5D6E-409C-BE32-E72D297353CC}">
              <c16:uniqueId val="{00000000-CF2F-4860-8D5E-1AE8C2DE2661}"/>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majorUnit val="2"/>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layout>
                <c:manualLayout>
                  <c:x val="-0.32433644743524387"/>
                  <c:y val="-0.16140868729443508"/>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'5'!$A$106:$A$122</c:f>
              <c:numCache>
                <c:formatCode>General</c:formatCode>
                <c:ptCount val="17"/>
                <c:pt idx="0">
                  <c:v>0</c:v>
                </c:pt>
                <c:pt idx="1">
                  <c:v>8.4</c:v>
                </c:pt>
                <c:pt idx="2">
                  <c:v>12.7</c:v>
                </c:pt>
                <c:pt idx="3">
                  <c:v>19.8</c:v>
                </c:pt>
                <c:pt idx="4">
                  <c:v>27.5</c:v>
                </c:pt>
                <c:pt idx="5">
                  <c:v>41.6</c:v>
                </c:pt>
                <c:pt idx="6">
                  <c:v>55</c:v>
                </c:pt>
              </c:numCache>
            </c:numRef>
          </c:xVal>
          <c:yVal>
            <c:numRef>
              <c:f>'5'!$B$106:$B$122</c:f>
              <c:numCache>
                <c:formatCode>General</c:formatCode>
                <c:ptCount val="17"/>
                <c:pt idx="0">
                  <c:v>13.5</c:v>
                </c:pt>
                <c:pt idx="1">
                  <c:v>12.1</c:v>
                </c:pt>
                <c:pt idx="2">
                  <c:v>11.4</c:v>
                </c:pt>
                <c:pt idx="3">
                  <c:v>10.199999999999999</c:v>
                </c:pt>
                <c:pt idx="4">
                  <c:v>8.8000000000000007</c:v>
                </c:pt>
                <c:pt idx="5">
                  <c:v>6.2</c:v>
                </c:pt>
                <c:pt idx="6">
                  <c:v>3.5</c:v>
                </c:pt>
              </c:numCache>
            </c:numRef>
          </c:yVal>
          <c:smooth val="0"/>
          <c:extLst>
            <c:ext xmlns:c16="http://schemas.microsoft.com/office/drawing/2014/chart" uri="{C3380CC4-5D6E-409C-BE32-E72D297353CC}">
              <c16:uniqueId val="{00000000-0A16-4E25-927C-EA813B18E237}"/>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majorUnit val="2"/>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noFill/>
              <a:ln w="9525">
                <a:noFill/>
              </a:ln>
              <a:effectLst/>
            </c:spPr>
          </c:marker>
          <c:trendline>
            <c:spPr>
              <a:ln w="19050" cap="rnd">
                <a:solidFill>
                  <a:schemeClr val="accent1"/>
                </a:solidFill>
                <a:prstDash val="sysDot"/>
              </a:ln>
              <a:effectLst/>
            </c:spPr>
            <c:trendlineType val="poly"/>
            <c:order val="2"/>
            <c:dispRSqr val="0"/>
            <c:dispEq val="1"/>
            <c:trendlineLbl>
              <c:layout>
                <c:manualLayout>
                  <c:x val="-0.34963876225998064"/>
                  <c:y val="-0.36648193575961757"/>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'5'!$A$61:$A$77</c:f>
              <c:numCache>
                <c:formatCode>General</c:formatCode>
                <c:ptCount val="17"/>
                <c:pt idx="0">
                  <c:v>0</c:v>
                </c:pt>
                <c:pt idx="1">
                  <c:v>2.2000000000000002</c:v>
                </c:pt>
                <c:pt idx="2">
                  <c:v>2.444</c:v>
                </c:pt>
                <c:pt idx="3">
                  <c:v>3.9</c:v>
                </c:pt>
                <c:pt idx="4">
                  <c:v>5.0999999999999996</c:v>
                </c:pt>
                <c:pt idx="5">
                  <c:v>6.6</c:v>
                </c:pt>
                <c:pt idx="6">
                  <c:v>8.9</c:v>
                </c:pt>
                <c:pt idx="7">
                  <c:v>10.1</c:v>
                </c:pt>
                <c:pt idx="8">
                  <c:v>12.1</c:v>
                </c:pt>
                <c:pt idx="9">
                  <c:v>13.3</c:v>
                </c:pt>
                <c:pt idx="10">
                  <c:v>14.1</c:v>
                </c:pt>
              </c:numCache>
            </c:numRef>
          </c:xVal>
          <c:yVal>
            <c:numRef>
              <c:f>'5'!$B$61:$B$77</c:f>
              <c:numCache>
                <c:formatCode>General</c:formatCode>
                <c:ptCount val="17"/>
                <c:pt idx="0">
                  <c:v>17.899999999999999</c:v>
                </c:pt>
                <c:pt idx="1">
                  <c:v>16.100000000000001</c:v>
                </c:pt>
                <c:pt idx="2">
                  <c:v>15.823</c:v>
                </c:pt>
                <c:pt idx="3">
                  <c:v>14.5</c:v>
                </c:pt>
                <c:pt idx="4">
                  <c:v>13.4</c:v>
                </c:pt>
                <c:pt idx="5">
                  <c:v>11.9</c:v>
                </c:pt>
                <c:pt idx="6">
                  <c:v>9.1999999999999993</c:v>
                </c:pt>
                <c:pt idx="7">
                  <c:v>7.8</c:v>
                </c:pt>
                <c:pt idx="8">
                  <c:v>5.2</c:v>
                </c:pt>
                <c:pt idx="9">
                  <c:v>3.7</c:v>
                </c:pt>
                <c:pt idx="10">
                  <c:v>2.4</c:v>
                </c:pt>
              </c:numCache>
            </c:numRef>
          </c:yVal>
          <c:smooth val="1"/>
          <c:extLst>
            <c:ext xmlns:c16="http://schemas.microsoft.com/office/drawing/2014/chart" uri="{C3380CC4-5D6E-409C-BE32-E72D297353CC}">
              <c16:uniqueId val="{00000000-5DE2-497F-A70A-65831864A4EA}"/>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majorUnit val="2"/>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layout>
                <c:manualLayout>
                  <c:x val="-0.3130931067827048"/>
                  <c:y val="-0.22526156244275797"/>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'5'!$A$20:$A$36</c:f>
              <c:numCache>
                <c:formatCode>General</c:formatCode>
                <c:ptCount val="17"/>
                <c:pt idx="0">
                  <c:v>0</c:v>
                </c:pt>
                <c:pt idx="1">
                  <c:v>5</c:v>
                </c:pt>
                <c:pt idx="2">
                  <c:v>10</c:v>
                </c:pt>
                <c:pt idx="3">
                  <c:v>12.7</c:v>
                </c:pt>
                <c:pt idx="4">
                  <c:v>19.8</c:v>
                </c:pt>
                <c:pt idx="5">
                  <c:v>23</c:v>
                </c:pt>
                <c:pt idx="6">
                  <c:v>26.5</c:v>
                </c:pt>
              </c:numCache>
            </c:numRef>
          </c:xVal>
          <c:yVal>
            <c:numRef>
              <c:f>'5'!$B$20:$B$36</c:f>
              <c:numCache>
                <c:formatCode>General</c:formatCode>
                <c:ptCount val="17"/>
                <c:pt idx="0">
                  <c:v>11.9</c:v>
                </c:pt>
                <c:pt idx="1">
                  <c:v>10.5</c:v>
                </c:pt>
                <c:pt idx="2">
                  <c:v>8.8000000000000007</c:v>
                </c:pt>
                <c:pt idx="3">
                  <c:v>7.8</c:v>
                </c:pt>
                <c:pt idx="4">
                  <c:v>5</c:v>
                </c:pt>
                <c:pt idx="5">
                  <c:v>3.6</c:v>
                </c:pt>
                <c:pt idx="6">
                  <c:v>1.9</c:v>
                </c:pt>
              </c:numCache>
            </c:numRef>
          </c:yVal>
          <c:smooth val="0"/>
          <c:extLst>
            <c:ext xmlns:c16="http://schemas.microsoft.com/office/drawing/2014/chart" uri="{C3380CC4-5D6E-409C-BE32-E72D297353CC}">
              <c16:uniqueId val="{00000000-5AFA-492D-9E04-F8CE3E1A29A3}"/>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majorUnit val="2"/>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layout>
                <c:manualLayout>
                  <c:x val="-0.3130931067827048"/>
                  <c:y val="-0.22526156244275797"/>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'5'!$A$41:$A$58</c:f>
              <c:numCache>
                <c:formatCode>General</c:formatCode>
                <c:ptCount val="18"/>
                <c:pt idx="0">
                  <c:v>0</c:v>
                </c:pt>
                <c:pt idx="1">
                  <c:v>5</c:v>
                </c:pt>
                <c:pt idx="2">
                  <c:v>10</c:v>
                </c:pt>
                <c:pt idx="3">
                  <c:v>12.7</c:v>
                </c:pt>
                <c:pt idx="4">
                  <c:v>19.8</c:v>
                </c:pt>
                <c:pt idx="5">
                  <c:v>28</c:v>
                </c:pt>
                <c:pt idx="6">
                  <c:v>36</c:v>
                </c:pt>
              </c:numCache>
            </c:numRef>
          </c:xVal>
          <c:yVal>
            <c:numRef>
              <c:f>'5'!$B$41:$B$58</c:f>
              <c:numCache>
                <c:formatCode>General</c:formatCode>
                <c:ptCount val="18"/>
                <c:pt idx="0">
                  <c:v>16</c:v>
                </c:pt>
                <c:pt idx="1">
                  <c:v>14.5</c:v>
                </c:pt>
                <c:pt idx="2">
                  <c:v>12.9</c:v>
                </c:pt>
                <c:pt idx="3">
                  <c:v>12</c:v>
                </c:pt>
                <c:pt idx="4">
                  <c:v>9.3000000000000007</c:v>
                </c:pt>
                <c:pt idx="5">
                  <c:v>5.8</c:v>
                </c:pt>
                <c:pt idx="6">
                  <c:v>2</c:v>
                </c:pt>
              </c:numCache>
            </c:numRef>
          </c:yVal>
          <c:smooth val="0"/>
          <c:extLst>
            <c:ext xmlns:c16="http://schemas.microsoft.com/office/drawing/2014/chart" uri="{C3380CC4-5D6E-409C-BE32-E72D297353CC}">
              <c16:uniqueId val="{00000000-FA25-41D9-A9B8-2A7A3615248A}"/>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majorUnit val="2"/>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layout>
                <c:manualLayout>
                  <c:x val="-0.32433644743524387"/>
                  <c:y val="-0.16140868729443508"/>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'5'!$A$129:$A$145</c:f>
              <c:numCache>
                <c:formatCode>General</c:formatCode>
                <c:ptCount val="17"/>
                <c:pt idx="0">
                  <c:v>0</c:v>
                </c:pt>
                <c:pt idx="1">
                  <c:v>8.4</c:v>
                </c:pt>
                <c:pt idx="2">
                  <c:v>12.7</c:v>
                </c:pt>
                <c:pt idx="3">
                  <c:v>19.8</c:v>
                </c:pt>
                <c:pt idx="4">
                  <c:v>27.5</c:v>
                </c:pt>
                <c:pt idx="5">
                  <c:v>41.6</c:v>
                </c:pt>
                <c:pt idx="6">
                  <c:v>50</c:v>
                </c:pt>
                <c:pt idx="7">
                  <c:v>60</c:v>
                </c:pt>
              </c:numCache>
            </c:numRef>
          </c:xVal>
          <c:yVal>
            <c:numRef>
              <c:f>'5'!$B$129:$B$145</c:f>
              <c:numCache>
                <c:formatCode>General</c:formatCode>
                <c:ptCount val="17"/>
                <c:pt idx="0">
                  <c:v>17.2</c:v>
                </c:pt>
                <c:pt idx="1">
                  <c:v>15.6</c:v>
                </c:pt>
                <c:pt idx="2">
                  <c:v>14.8</c:v>
                </c:pt>
                <c:pt idx="3">
                  <c:v>13.4</c:v>
                </c:pt>
                <c:pt idx="4">
                  <c:v>11.8</c:v>
                </c:pt>
                <c:pt idx="5">
                  <c:v>8.6</c:v>
                </c:pt>
                <c:pt idx="6">
                  <c:v>6.5</c:v>
                </c:pt>
                <c:pt idx="7">
                  <c:v>4</c:v>
                </c:pt>
              </c:numCache>
            </c:numRef>
          </c:yVal>
          <c:smooth val="0"/>
          <c:extLst>
            <c:ext xmlns:c16="http://schemas.microsoft.com/office/drawing/2014/chart" uri="{C3380CC4-5D6E-409C-BE32-E72D297353CC}">
              <c16:uniqueId val="{00000000-ABE6-4C00-9785-E5FFD6DEC8E0}"/>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majorUnit val="2"/>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layout>
                <c:manualLayout>
                  <c:x val="-0.32433644743524387"/>
                  <c:y val="-0.16140868729443508"/>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'5'!$A$150:$A$166</c:f>
              <c:numCache>
                <c:formatCode>General</c:formatCode>
                <c:ptCount val="17"/>
                <c:pt idx="0">
                  <c:v>0</c:v>
                </c:pt>
                <c:pt idx="1">
                  <c:v>8.4</c:v>
                </c:pt>
                <c:pt idx="2">
                  <c:v>12.7</c:v>
                </c:pt>
                <c:pt idx="3">
                  <c:v>19.8</c:v>
                </c:pt>
                <c:pt idx="4">
                  <c:v>27.5</c:v>
                </c:pt>
                <c:pt idx="5">
                  <c:v>41.6</c:v>
                </c:pt>
                <c:pt idx="6">
                  <c:v>50</c:v>
                </c:pt>
                <c:pt idx="7">
                  <c:v>65</c:v>
                </c:pt>
                <c:pt idx="8">
                  <c:v>71.5</c:v>
                </c:pt>
              </c:numCache>
            </c:numRef>
          </c:xVal>
          <c:yVal>
            <c:numRef>
              <c:f>'5'!$B$150:$B$166</c:f>
              <c:numCache>
                <c:formatCode>General</c:formatCode>
                <c:ptCount val="17"/>
                <c:pt idx="0">
                  <c:v>23</c:v>
                </c:pt>
                <c:pt idx="1">
                  <c:v>21.7</c:v>
                </c:pt>
                <c:pt idx="2">
                  <c:v>21</c:v>
                </c:pt>
                <c:pt idx="3">
                  <c:v>19.600000000000001</c:v>
                </c:pt>
                <c:pt idx="4">
                  <c:v>18</c:v>
                </c:pt>
                <c:pt idx="5">
                  <c:v>14.4</c:v>
                </c:pt>
                <c:pt idx="6">
                  <c:v>11.9</c:v>
                </c:pt>
                <c:pt idx="7">
                  <c:v>7</c:v>
                </c:pt>
                <c:pt idx="8">
                  <c:v>4.5999999999999996</c:v>
                </c:pt>
              </c:numCache>
            </c:numRef>
          </c:yVal>
          <c:smooth val="0"/>
          <c:extLst>
            <c:ext xmlns:c16="http://schemas.microsoft.com/office/drawing/2014/chart" uri="{C3380CC4-5D6E-409C-BE32-E72D297353CC}">
              <c16:uniqueId val="{00000000-C4D4-4B1D-9A8D-B8F702B334D6}"/>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majorUnit val="2"/>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568768403405506E-2"/>
          <c:y val="5.4203826276443316E-2"/>
          <c:w val="0.758213166770911"/>
          <c:h val="0.8382674254442779"/>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3"/>
            <c:dispRSqr val="0"/>
            <c:dispEq val="1"/>
            <c:trendlineLbl>
              <c:layout>
                <c:manualLayout>
                  <c:x val="-0.18724189854627873"/>
                  <c:y val="-0.11044016242383634"/>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trendlineLbl>
          </c:trendline>
          <c:xVal>
            <c:numRef>
              <c:f>'5'!$A$171:$A$187</c:f>
              <c:numCache>
                <c:formatCode>General</c:formatCode>
                <c:ptCount val="17"/>
                <c:pt idx="0">
                  <c:v>0</c:v>
                </c:pt>
                <c:pt idx="1">
                  <c:v>13.13</c:v>
                </c:pt>
                <c:pt idx="2">
                  <c:v>25.76</c:v>
                </c:pt>
                <c:pt idx="3">
                  <c:v>38.92</c:v>
                </c:pt>
                <c:pt idx="4">
                  <c:v>51.88</c:v>
                </c:pt>
                <c:pt idx="5">
                  <c:v>64.81</c:v>
                </c:pt>
                <c:pt idx="6">
                  <c:v>77.86</c:v>
                </c:pt>
                <c:pt idx="7">
                  <c:v>91.11</c:v>
                </c:pt>
                <c:pt idx="8">
                  <c:v>103.71</c:v>
                </c:pt>
                <c:pt idx="9">
                  <c:v>116.06</c:v>
                </c:pt>
              </c:numCache>
            </c:numRef>
          </c:xVal>
          <c:yVal>
            <c:numRef>
              <c:f>'5'!$B$171:$B$187</c:f>
              <c:numCache>
                <c:formatCode>General</c:formatCode>
                <c:ptCount val="17"/>
                <c:pt idx="0">
                  <c:v>9.39</c:v>
                </c:pt>
                <c:pt idx="1">
                  <c:v>8.9600000000000009</c:v>
                </c:pt>
                <c:pt idx="2">
                  <c:v>8.3699999999999992</c:v>
                </c:pt>
                <c:pt idx="3">
                  <c:v>7.61</c:v>
                </c:pt>
                <c:pt idx="4">
                  <c:v>6.73</c:v>
                </c:pt>
                <c:pt idx="5">
                  <c:v>5.77</c:v>
                </c:pt>
                <c:pt idx="6">
                  <c:v>4.78</c:v>
                </c:pt>
                <c:pt idx="7">
                  <c:v>3.83</c:v>
                </c:pt>
                <c:pt idx="8">
                  <c:v>3.04</c:v>
                </c:pt>
                <c:pt idx="9">
                  <c:v>2.4700000000000002</c:v>
                </c:pt>
              </c:numCache>
            </c:numRef>
          </c:yVal>
          <c:smooth val="0"/>
          <c:extLst>
            <c:ext xmlns:c16="http://schemas.microsoft.com/office/drawing/2014/chart" uri="{C3380CC4-5D6E-409C-BE32-E72D297353CC}">
              <c16:uniqueId val="{00000000-5FEE-4EBF-8E61-4A362C6502E6}"/>
            </c:ext>
          </c:extLst>
        </c:ser>
        <c:dLbls>
          <c:showLegendKey val="0"/>
          <c:showVal val="0"/>
          <c:showCatName val="0"/>
          <c:showSerName val="0"/>
          <c:showPercent val="0"/>
          <c:showBubbleSize val="0"/>
        </c:dLbls>
        <c:axId val="599141120"/>
        <c:axId val="599143088"/>
      </c:scatterChart>
      <c:valAx>
        <c:axId val="5991411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Fördermenge [m3/h]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3088"/>
        <c:crosses val="autoZero"/>
        <c:crossBetween val="midCat"/>
      </c:valAx>
      <c:valAx>
        <c:axId val="599143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Förderhöhe in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99141120"/>
        <c:crosses val="autoZero"/>
        <c:crossBetween val="midCat"/>
        <c:majorUnit val="1"/>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chart" Target="../charts/chart1.xml"/><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8" Type="http://schemas.openxmlformats.org/officeDocument/2006/relationships/chart" Target="../charts/chart9.xml"/><Relationship Id="rId13" Type="http://schemas.openxmlformats.org/officeDocument/2006/relationships/chart" Target="../charts/chart14.xml"/><Relationship Id="rId3" Type="http://schemas.openxmlformats.org/officeDocument/2006/relationships/chart" Target="../charts/chart4.xml"/><Relationship Id="rId7" Type="http://schemas.openxmlformats.org/officeDocument/2006/relationships/chart" Target="../charts/chart8.xml"/><Relationship Id="rId12" Type="http://schemas.openxmlformats.org/officeDocument/2006/relationships/chart" Target="../charts/chart13.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chart" Target="../charts/chart12.xml"/><Relationship Id="rId5" Type="http://schemas.openxmlformats.org/officeDocument/2006/relationships/chart" Target="../charts/chart6.xml"/><Relationship Id="rId10" Type="http://schemas.openxmlformats.org/officeDocument/2006/relationships/chart" Target="../charts/chart11.xml"/><Relationship Id="rId4" Type="http://schemas.openxmlformats.org/officeDocument/2006/relationships/chart" Target="../charts/chart5.xml"/><Relationship Id="rId9"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3</xdr:col>
      <xdr:colOff>819150</xdr:colOff>
      <xdr:row>8</xdr:row>
      <xdr:rowOff>142875</xdr:rowOff>
    </xdr:from>
    <xdr:to>
      <xdr:col>6</xdr:col>
      <xdr:colOff>9525</xdr:colOff>
      <xdr:row>17</xdr:row>
      <xdr:rowOff>0</xdr:rowOff>
    </xdr:to>
    <xdr:sp macro="" textlink="">
      <xdr:nvSpPr>
        <xdr:cNvPr id="7" name="Ellipse 6">
          <a:extLst>
            <a:ext uri="{FF2B5EF4-FFF2-40B4-BE49-F238E27FC236}">
              <a16:creationId xmlns:a16="http://schemas.microsoft.com/office/drawing/2014/main" id="{9FB693F4-59A4-5F06-703D-59F77472524A}"/>
            </a:ext>
          </a:extLst>
        </xdr:cNvPr>
        <xdr:cNvSpPr/>
      </xdr:nvSpPr>
      <xdr:spPr>
        <a:xfrm>
          <a:off x="3105150" y="2743200"/>
          <a:ext cx="1600200" cy="1571625"/>
        </a:xfrm>
        <a:prstGeom prst="ellipse">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171450</xdr:colOff>
      <xdr:row>9</xdr:row>
      <xdr:rowOff>9525</xdr:rowOff>
    </xdr:from>
    <xdr:to>
      <xdr:col>5</xdr:col>
      <xdr:colOff>552450</xdr:colOff>
      <xdr:row>16</xdr:row>
      <xdr:rowOff>171450</xdr:rowOff>
    </xdr:to>
    <xdr:sp macro="" textlink="">
      <xdr:nvSpPr>
        <xdr:cNvPr id="8" name="Textfeld 7">
          <a:extLst>
            <a:ext uri="{FF2B5EF4-FFF2-40B4-BE49-F238E27FC236}">
              <a16:creationId xmlns:a16="http://schemas.microsoft.com/office/drawing/2014/main" id="{6BD4A251-E8AF-2B6E-6B53-966095A4FFCE}"/>
            </a:ext>
          </a:extLst>
        </xdr:cNvPr>
        <xdr:cNvSpPr txBox="1"/>
      </xdr:nvSpPr>
      <xdr:spPr>
        <a:xfrm>
          <a:off x="3343275" y="2800350"/>
          <a:ext cx="1143000" cy="1495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400" b="1">
              <a:latin typeface="Arial" panose="020B0604020202020204" pitchFamily="34" charset="0"/>
              <a:cs typeface="Arial" panose="020B0604020202020204" pitchFamily="34" charset="0"/>
            </a:rPr>
            <a:t>Voller Funktions-umfang:</a:t>
          </a:r>
        </a:p>
        <a:p>
          <a:pPr algn="ctr"/>
          <a:r>
            <a:rPr lang="de-DE" sz="1200"/>
            <a:t>Datei herunterladen und mit Excel öffnen.</a:t>
          </a:r>
        </a:p>
      </xdr:txBody>
    </xdr:sp>
    <xdr:clientData/>
  </xdr:twoCellAnchor>
  <xdr:twoCellAnchor editAs="oneCell">
    <xdr:from>
      <xdr:col>5</xdr:col>
      <xdr:colOff>447675</xdr:colOff>
      <xdr:row>12</xdr:row>
      <xdr:rowOff>142875</xdr:rowOff>
    </xdr:from>
    <xdr:to>
      <xdr:col>5</xdr:col>
      <xdr:colOff>685833</xdr:colOff>
      <xdr:row>13</xdr:row>
      <xdr:rowOff>181007</xdr:rowOff>
    </xdr:to>
    <xdr:pic>
      <xdr:nvPicPr>
        <xdr:cNvPr id="10" name="Grafik 9">
          <a:extLst>
            <a:ext uri="{FF2B5EF4-FFF2-40B4-BE49-F238E27FC236}">
              <a16:creationId xmlns:a16="http://schemas.microsoft.com/office/drawing/2014/main" id="{9975B996-0203-0881-3DA2-DD4F343CA867}"/>
            </a:ext>
          </a:extLst>
        </xdr:cNvPr>
        <xdr:cNvPicPr>
          <a:picLocks noChangeAspect="1"/>
        </xdr:cNvPicPr>
      </xdr:nvPicPr>
      <xdr:blipFill>
        <a:blip xmlns:r="http://schemas.openxmlformats.org/officeDocument/2006/relationships" r:embed="rId1"/>
        <a:stretch>
          <a:fillRect/>
        </a:stretch>
      </xdr:blipFill>
      <xdr:spPr>
        <a:xfrm>
          <a:off x="4381500" y="3505200"/>
          <a:ext cx="238158" cy="2286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21167</xdr:colOff>
      <xdr:row>2</xdr:row>
      <xdr:rowOff>232833</xdr:rowOff>
    </xdr:from>
    <xdr:ext cx="2381249" cy="317500"/>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3069167" y="775758"/>
              <a:ext cx="2381249"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de-DE" sz="1800" i="1">
                            <a:latin typeface="Cambria Math" panose="02040503050406030204" pitchFamily="18" charset="0"/>
                          </a:rPr>
                        </m:ctrlPr>
                      </m:sSubPr>
                      <m:e>
                        <m:r>
                          <a:rPr lang="de-DE" sz="1800" i="1">
                            <a:latin typeface="Cambria Math" panose="02040503050406030204" pitchFamily="18" charset="0"/>
                          </a:rPr>
                          <m:t>𝑄</m:t>
                        </m:r>
                      </m:e>
                      <m:sub>
                        <m:r>
                          <a:rPr lang="de-DE" sz="1800" b="0" i="1">
                            <a:latin typeface="Cambria Math" panose="02040503050406030204" pitchFamily="18" charset="0"/>
                          </a:rPr>
                          <m:t>𝑡𝑜𝑡</m:t>
                        </m:r>
                      </m:sub>
                    </m:sSub>
                    <m:r>
                      <a:rPr lang="de-DE" sz="1800" i="1">
                        <a:latin typeface="Cambria Math" panose="02040503050406030204" pitchFamily="18" charset="0"/>
                      </a:rPr>
                      <m:t>=</m:t>
                    </m:r>
                    <m:sSub>
                      <m:sSubPr>
                        <m:ctrlPr>
                          <a:rPr lang="de-DE" sz="1800" i="1">
                            <a:latin typeface="Cambria Math" panose="02040503050406030204" pitchFamily="18" charset="0"/>
                          </a:rPr>
                        </m:ctrlPr>
                      </m:sSubPr>
                      <m:e>
                        <m:r>
                          <a:rPr lang="de-DE" sz="1800" i="1">
                            <a:latin typeface="Cambria Math" panose="02040503050406030204" pitchFamily="18" charset="0"/>
                          </a:rPr>
                          <m:t>𝑄</m:t>
                        </m:r>
                      </m:e>
                      <m:sub>
                        <m:r>
                          <a:rPr lang="de-DE" sz="1800" b="0" i="1">
                            <a:latin typeface="Cambria Math" panose="02040503050406030204" pitchFamily="18" charset="0"/>
                          </a:rPr>
                          <m:t>𝑊𝑊</m:t>
                        </m:r>
                      </m:sub>
                    </m:sSub>
                    <m:r>
                      <a:rPr lang="de-DE" sz="1800" i="1">
                        <a:latin typeface="Cambria Math" panose="02040503050406030204" pitchFamily="18" charset="0"/>
                      </a:rPr>
                      <m:t>+</m:t>
                    </m:r>
                    <m:sSub>
                      <m:sSubPr>
                        <m:ctrlPr>
                          <a:rPr lang="de-DE" sz="1800" i="1">
                            <a:latin typeface="Cambria Math" panose="02040503050406030204" pitchFamily="18" charset="0"/>
                          </a:rPr>
                        </m:ctrlPr>
                      </m:sSubPr>
                      <m:e>
                        <m:r>
                          <a:rPr lang="de-DE" sz="1800" i="1">
                            <a:latin typeface="Cambria Math" panose="02040503050406030204" pitchFamily="18" charset="0"/>
                          </a:rPr>
                          <m:t>𝑄</m:t>
                        </m:r>
                      </m:e>
                      <m:sub>
                        <m:r>
                          <a:rPr lang="de-DE" sz="1800" i="1">
                            <a:latin typeface="Cambria Math" panose="02040503050406030204" pitchFamily="18" charset="0"/>
                          </a:rPr>
                          <m:t>𝑐</m:t>
                        </m:r>
                      </m:sub>
                    </m:sSub>
                    <m:r>
                      <a:rPr lang="de-DE" sz="1800" i="1">
                        <a:latin typeface="Cambria Math" panose="02040503050406030204" pitchFamily="18" charset="0"/>
                      </a:rPr>
                      <m:t>+</m:t>
                    </m:r>
                    <m:sSub>
                      <m:sSubPr>
                        <m:ctrlPr>
                          <a:rPr lang="de-DE" sz="1800" i="1">
                            <a:latin typeface="Cambria Math" panose="02040503050406030204" pitchFamily="18" charset="0"/>
                          </a:rPr>
                        </m:ctrlPr>
                      </m:sSubPr>
                      <m:e>
                        <m:r>
                          <a:rPr lang="de-DE" sz="1800" i="1">
                            <a:latin typeface="Cambria Math" panose="02040503050406030204" pitchFamily="18" charset="0"/>
                          </a:rPr>
                          <m:t>𝑄</m:t>
                        </m:r>
                      </m:e>
                      <m:sub>
                        <m:r>
                          <a:rPr lang="de-DE" sz="1800" i="1">
                            <a:latin typeface="Cambria Math" panose="02040503050406030204" pitchFamily="18" charset="0"/>
                          </a:rPr>
                          <m:t>𝑃</m:t>
                        </m:r>
                      </m:sub>
                    </m:sSub>
                  </m:oMath>
                </m:oMathPara>
              </a14:m>
              <a:endParaRPr lang="de-DE" sz="3200"/>
            </a:p>
          </xdr:txBody>
        </xdr:sp>
      </mc:Choice>
      <mc:Fallback xmlns="">
        <xdr:sp macro="" textlink="">
          <xdr:nvSpPr>
            <xdr:cNvPr id="3" name="Textfeld 2"/>
            <xdr:cNvSpPr txBox="1"/>
          </xdr:nvSpPr>
          <xdr:spPr>
            <a:xfrm>
              <a:off x="3069167" y="775758"/>
              <a:ext cx="2381249"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1800" i="0">
                  <a:latin typeface="Cambria Math" panose="02040503050406030204" pitchFamily="18" charset="0"/>
                </a:rPr>
                <a:t>𝑄_</a:t>
              </a:r>
              <a:r>
                <a:rPr lang="de-DE" sz="1800" b="0" i="0">
                  <a:latin typeface="Cambria Math" panose="02040503050406030204" pitchFamily="18" charset="0"/>
                </a:rPr>
                <a:t>𝑡𝑜𝑡</a:t>
              </a:r>
              <a:r>
                <a:rPr lang="de-DE" sz="1800" i="0">
                  <a:latin typeface="Cambria Math" panose="02040503050406030204" pitchFamily="18" charset="0"/>
                </a:rPr>
                <a:t>=𝑄_</a:t>
              </a:r>
              <a:r>
                <a:rPr lang="de-DE" sz="1800" b="0" i="0">
                  <a:latin typeface="Cambria Math" panose="02040503050406030204" pitchFamily="18" charset="0"/>
                </a:rPr>
                <a:t>𝑊𝑊</a:t>
              </a:r>
              <a:r>
                <a:rPr lang="de-DE" sz="1800" i="0">
                  <a:latin typeface="Cambria Math" panose="02040503050406030204" pitchFamily="18" charset="0"/>
                </a:rPr>
                <a:t>+𝑄_𝑐+𝑄_𝑃</a:t>
              </a:r>
              <a:endParaRPr lang="de-DE" sz="3200"/>
            </a:p>
          </xdr:txBody>
        </xdr:sp>
      </mc:Fallback>
    </mc:AlternateContent>
    <xdr:clientData/>
  </xdr:oneCellAnchor>
  <xdr:oneCellAnchor>
    <xdr:from>
      <xdr:col>4</xdr:col>
      <xdr:colOff>19051</xdr:colOff>
      <xdr:row>7</xdr:row>
      <xdr:rowOff>214841</xdr:rowOff>
    </xdr:from>
    <xdr:ext cx="2235199" cy="318485"/>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100-000004000000}"/>
                </a:ext>
              </a:extLst>
            </xdr:cNvPr>
            <xdr:cNvSpPr txBox="1"/>
          </xdr:nvSpPr>
          <xdr:spPr>
            <a:xfrm>
              <a:off x="3067051" y="2043641"/>
              <a:ext cx="2235199" cy="318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left"/>
                  </m:oMathParaPr>
                  <m:oMath xmlns:m="http://schemas.openxmlformats.org/officeDocument/2006/math">
                    <m:sSub>
                      <m:sSubPr>
                        <m:ctrlPr>
                          <a:rPr lang="de-DE" sz="1800" i="1">
                            <a:latin typeface="Cambria Math" panose="02040503050406030204" pitchFamily="18" charset="0"/>
                          </a:rPr>
                        </m:ctrlPr>
                      </m:sSubPr>
                      <m:e>
                        <m:r>
                          <a:rPr lang="de-DE" sz="1800" i="1">
                            <a:latin typeface="Cambria Math" panose="02040503050406030204" pitchFamily="18" charset="0"/>
                          </a:rPr>
                          <m:t>𝑄</m:t>
                        </m:r>
                      </m:e>
                      <m:sub>
                        <m:r>
                          <a:rPr lang="de-DE" sz="1800" b="0" i="1">
                            <a:latin typeface="Cambria Math" panose="02040503050406030204" pitchFamily="18" charset="0"/>
                          </a:rPr>
                          <m:t>𝑊𝑊</m:t>
                        </m:r>
                      </m:sub>
                    </m:sSub>
                    <m:r>
                      <a:rPr lang="de-DE" sz="1800" i="1">
                        <a:latin typeface="Cambria Math" panose="02040503050406030204" pitchFamily="18" charset="0"/>
                      </a:rPr>
                      <m:t>=</m:t>
                    </m:r>
                    <m:r>
                      <a:rPr lang="de-DE" sz="1800" b="0" i="1">
                        <a:latin typeface="Cambria Math" panose="02040503050406030204" pitchFamily="18" charset="0"/>
                      </a:rPr>
                      <m:t>𝐾</m:t>
                    </m:r>
                    <m:r>
                      <a:rPr lang="de-DE" sz="1800" i="1">
                        <a:latin typeface="Cambria Math" panose="02040503050406030204" pitchFamily="18" charset="0"/>
                      </a:rPr>
                      <m:t>⋅</m:t>
                    </m:r>
                    <m:rad>
                      <m:radPr>
                        <m:degHide m:val="on"/>
                        <m:ctrlPr>
                          <a:rPr lang="de-DE" sz="1800" i="1">
                            <a:latin typeface="Cambria Math" panose="02040503050406030204" pitchFamily="18" charset="0"/>
                          </a:rPr>
                        </m:ctrlPr>
                      </m:radPr>
                      <m:deg/>
                      <m:e>
                        <m:r>
                          <a:rPr lang="de-DE" sz="1800" i="1">
                            <a:latin typeface="Cambria Math" panose="02040503050406030204" pitchFamily="18" charset="0"/>
                          </a:rPr>
                          <m:t>𝐷</m:t>
                        </m:r>
                        <m:r>
                          <a:rPr lang="de-DE" sz="1800" b="0" i="1">
                            <a:latin typeface="Cambria Math" panose="02040503050406030204" pitchFamily="18" charset="0"/>
                          </a:rPr>
                          <m:t>𝑈</m:t>
                        </m:r>
                      </m:e>
                    </m:rad>
                  </m:oMath>
                </m:oMathPara>
              </a14:m>
              <a:endParaRPr lang="de-DE" sz="4800"/>
            </a:p>
          </xdr:txBody>
        </xdr:sp>
      </mc:Choice>
      <mc:Fallback xmlns="">
        <xdr:sp macro="" textlink="">
          <xdr:nvSpPr>
            <xdr:cNvPr id="4" name="Textfeld 3"/>
            <xdr:cNvSpPr txBox="1"/>
          </xdr:nvSpPr>
          <xdr:spPr>
            <a:xfrm>
              <a:off x="3067051" y="2043641"/>
              <a:ext cx="2235199" cy="318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de-DE" sz="1800" i="0">
                  <a:latin typeface="Cambria Math" panose="02040503050406030204" pitchFamily="18" charset="0"/>
                </a:rPr>
                <a:t>𝑄_</a:t>
              </a:r>
              <a:r>
                <a:rPr lang="de-DE" sz="1800" b="0" i="0">
                  <a:latin typeface="Cambria Math" panose="02040503050406030204" pitchFamily="18" charset="0"/>
                </a:rPr>
                <a:t>𝑊𝑊</a:t>
              </a:r>
              <a:r>
                <a:rPr lang="de-DE" sz="1800" i="0">
                  <a:latin typeface="Cambria Math" panose="02040503050406030204" pitchFamily="18" charset="0"/>
                </a:rPr>
                <a:t>=</a:t>
              </a:r>
              <a:r>
                <a:rPr lang="de-DE" sz="1800" b="0" i="0">
                  <a:latin typeface="Cambria Math" panose="02040503050406030204" pitchFamily="18" charset="0"/>
                </a:rPr>
                <a:t>𝐾</a:t>
              </a:r>
              <a:r>
                <a:rPr lang="de-DE" sz="1800" i="0">
                  <a:latin typeface="Cambria Math" panose="02040503050406030204" pitchFamily="18" charset="0"/>
                </a:rPr>
                <a:t>⋅√𝐷</a:t>
              </a:r>
              <a:r>
                <a:rPr lang="de-DE" sz="1800" b="0" i="0">
                  <a:latin typeface="Cambria Math" panose="02040503050406030204" pitchFamily="18" charset="0"/>
                </a:rPr>
                <a:t>𝑈</a:t>
              </a:r>
              <a:endParaRPr lang="de-DE" sz="4800"/>
            </a:p>
          </xdr:txBody>
        </xdr:sp>
      </mc:Fallback>
    </mc:AlternateContent>
    <xdr:clientData/>
  </xdr:oneCellAnchor>
  <xdr:oneCellAnchor>
    <xdr:from>
      <xdr:col>4</xdr:col>
      <xdr:colOff>29633</xdr:colOff>
      <xdr:row>52</xdr:row>
      <xdr:rowOff>236009</xdr:rowOff>
    </xdr:from>
    <xdr:ext cx="334387" cy="313099"/>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00000000-0008-0000-0100-000005000000}"/>
                </a:ext>
              </a:extLst>
            </xdr:cNvPr>
            <xdr:cNvSpPr txBox="1"/>
          </xdr:nvSpPr>
          <xdr:spPr>
            <a:xfrm>
              <a:off x="3077633" y="12780434"/>
              <a:ext cx="334387" cy="313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de-DE" sz="2000" i="1">
                            <a:latin typeface="Cambria Math" panose="02040503050406030204" pitchFamily="18" charset="0"/>
                          </a:rPr>
                        </m:ctrlPr>
                      </m:sSubPr>
                      <m:e>
                        <m:r>
                          <a:rPr lang="de-DE" sz="2000" i="1">
                            <a:latin typeface="Cambria Math" panose="02040503050406030204" pitchFamily="18" charset="0"/>
                          </a:rPr>
                          <m:t>𝑄</m:t>
                        </m:r>
                      </m:e>
                      <m:sub>
                        <m:r>
                          <a:rPr lang="de-DE" sz="2000" i="1">
                            <a:latin typeface="Cambria Math" panose="02040503050406030204" pitchFamily="18" charset="0"/>
                          </a:rPr>
                          <m:t>𝑐</m:t>
                        </m:r>
                      </m:sub>
                    </m:sSub>
                  </m:oMath>
                </m:oMathPara>
              </a14:m>
              <a:endParaRPr lang="de-DE" sz="1100"/>
            </a:p>
          </xdr:txBody>
        </xdr:sp>
      </mc:Choice>
      <mc:Fallback xmlns="">
        <xdr:sp macro="" textlink="">
          <xdr:nvSpPr>
            <xdr:cNvPr id="5" name="Textfeld 4"/>
            <xdr:cNvSpPr txBox="1"/>
          </xdr:nvSpPr>
          <xdr:spPr>
            <a:xfrm>
              <a:off x="3077633" y="12780434"/>
              <a:ext cx="334387" cy="313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2000" i="0">
                  <a:latin typeface="Cambria Math" panose="02040503050406030204" pitchFamily="18" charset="0"/>
                </a:rPr>
                <a:t>𝑄_𝑐</a:t>
              </a:r>
              <a:endParaRPr lang="de-DE" sz="1100"/>
            </a:p>
          </xdr:txBody>
        </xdr:sp>
      </mc:Fallback>
    </mc:AlternateContent>
    <xdr:clientData/>
  </xdr:oneCellAnchor>
  <xdr:oneCellAnchor>
    <xdr:from>
      <xdr:col>4</xdr:col>
      <xdr:colOff>0</xdr:colOff>
      <xdr:row>70</xdr:row>
      <xdr:rowOff>0</xdr:rowOff>
    </xdr:from>
    <xdr:ext cx="323422" cy="281808"/>
    <mc:AlternateContent xmlns:mc="http://schemas.openxmlformats.org/markup-compatibility/2006" xmlns:a14="http://schemas.microsoft.com/office/drawing/2010/main">
      <mc:Choice Requires="a14">
        <xdr:sp macro="" textlink="">
          <xdr:nvSpPr>
            <xdr:cNvPr id="6" name="Textfeld 5">
              <a:extLst>
                <a:ext uri="{FF2B5EF4-FFF2-40B4-BE49-F238E27FC236}">
                  <a16:creationId xmlns:a16="http://schemas.microsoft.com/office/drawing/2014/main" id="{00000000-0008-0000-0100-000006000000}"/>
                </a:ext>
              </a:extLst>
            </xdr:cNvPr>
            <xdr:cNvSpPr txBox="1"/>
          </xdr:nvSpPr>
          <xdr:spPr>
            <a:xfrm>
              <a:off x="3048000" y="15906750"/>
              <a:ext cx="323422" cy="281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de-DE" sz="1800" i="1">
                            <a:latin typeface="Cambria Math" panose="02040503050406030204" pitchFamily="18" charset="0"/>
                          </a:rPr>
                        </m:ctrlPr>
                      </m:sSubPr>
                      <m:e>
                        <m:r>
                          <a:rPr lang="de-DE" sz="1800" i="1">
                            <a:latin typeface="Cambria Math" panose="02040503050406030204" pitchFamily="18" charset="0"/>
                          </a:rPr>
                          <m:t>𝑄</m:t>
                        </m:r>
                      </m:e>
                      <m:sub>
                        <m:r>
                          <a:rPr lang="de-DE" sz="1800" b="0" i="1">
                            <a:latin typeface="Cambria Math" panose="02040503050406030204" pitchFamily="18" charset="0"/>
                          </a:rPr>
                          <m:t>𝑃</m:t>
                        </m:r>
                      </m:sub>
                    </m:sSub>
                  </m:oMath>
                </m:oMathPara>
              </a14:m>
              <a:endParaRPr lang="de-DE" sz="1100"/>
            </a:p>
          </xdr:txBody>
        </xdr:sp>
      </mc:Choice>
      <mc:Fallback xmlns="">
        <xdr:sp macro="" textlink="">
          <xdr:nvSpPr>
            <xdr:cNvPr id="6" name="Textfeld 5"/>
            <xdr:cNvSpPr txBox="1"/>
          </xdr:nvSpPr>
          <xdr:spPr>
            <a:xfrm>
              <a:off x="3048000" y="15906750"/>
              <a:ext cx="323422" cy="281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1800" i="0">
                  <a:latin typeface="Cambria Math" panose="02040503050406030204" pitchFamily="18" charset="0"/>
                </a:rPr>
                <a:t>𝑄_</a:t>
              </a:r>
              <a:r>
                <a:rPr lang="de-DE" sz="1800" b="0" i="0">
                  <a:latin typeface="Cambria Math" panose="02040503050406030204" pitchFamily="18" charset="0"/>
                </a:rPr>
                <a:t>𝑃</a:t>
              </a:r>
              <a:endParaRPr lang="de-DE" sz="1100"/>
            </a:p>
          </xdr:txBody>
        </xdr:sp>
      </mc:Fallback>
    </mc:AlternateContent>
    <xdr:clientData/>
  </xdr:oneCellAnchor>
  <xdr:oneCellAnchor>
    <xdr:from>
      <xdr:col>9</xdr:col>
      <xdr:colOff>158750</xdr:colOff>
      <xdr:row>78</xdr:row>
      <xdr:rowOff>211667</xdr:rowOff>
    </xdr:from>
    <xdr:ext cx="462691" cy="281808"/>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00000000-0008-0000-0100-000007000000}"/>
                </a:ext>
              </a:extLst>
            </xdr:cNvPr>
            <xdr:cNvSpPr txBox="1"/>
          </xdr:nvSpPr>
          <xdr:spPr>
            <a:xfrm>
              <a:off x="7645400" y="18099617"/>
              <a:ext cx="462691" cy="281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de-DE" sz="1800" i="1">
                            <a:latin typeface="Cambria Math" panose="02040503050406030204" pitchFamily="18" charset="0"/>
                          </a:rPr>
                        </m:ctrlPr>
                      </m:sSubPr>
                      <m:e>
                        <m:r>
                          <a:rPr lang="de-DE" sz="1800" i="1">
                            <a:latin typeface="Cambria Math" panose="02040503050406030204" pitchFamily="18" charset="0"/>
                          </a:rPr>
                          <m:t>𝑄</m:t>
                        </m:r>
                      </m:e>
                      <m:sub>
                        <m:r>
                          <a:rPr lang="de-DE" sz="1800" b="0" i="1">
                            <a:latin typeface="Cambria Math" panose="02040503050406030204" pitchFamily="18" charset="0"/>
                          </a:rPr>
                          <m:t>𝑡𝑜𝑡</m:t>
                        </m:r>
                      </m:sub>
                    </m:sSub>
                  </m:oMath>
                </m:oMathPara>
              </a14:m>
              <a:endParaRPr lang="de-DE" sz="1100"/>
            </a:p>
          </xdr:txBody>
        </xdr:sp>
      </mc:Choice>
      <mc:Fallback xmlns="">
        <xdr:sp macro="" textlink="">
          <xdr:nvSpPr>
            <xdr:cNvPr id="7" name="Textfeld 6"/>
            <xdr:cNvSpPr txBox="1"/>
          </xdr:nvSpPr>
          <xdr:spPr>
            <a:xfrm>
              <a:off x="7645400" y="18099617"/>
              <a:ext cx="462691" cy="2818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1800" i="0">
                  <a:latin typeface="Cambria Math" panose="02040503050406030204" pitchFamily="18" charset="0"/>
                </a:rPr>
                <a:t>𝑄_</a:t>
              </a:r>
              <a:r>
                <a:rPr lang="de-DE" sz="1800" b="0" i="0">
                  <a:latin typeface="Cambria Math" panose="02040503050406030204" pitchFamily="18" charset="0"/>
                </a:rPr>
                <a:t>𝑡𝑜𝑡</a:t>
              </a:r>
              <a:endParaRPr lang="de-DE" sz="1100"/>
            </a:p>
          </xdr:txBody>
        </xdr:sp>
      </mc:Fallback>
    </mc:AlternateContent>
    <xdr:clientData/>
  </xdr:oneCellAnchor>
  <xdr:twoCellAnchor editAs="oneCell">
    <xdr:from>
      <xdr:col>10</xdr:col>
      <xdr:colOff>306917</xdr:colOff>
      <xdr:row>0</xdr:row>
      <xdr:rowOff>95250</xdr:rowOff>
    </xdr:from>
    <xdr:to>
      <xdr:col>11</xdr:col>
      <xdr:colOff>473643</xdr:colOff>
      <xdr:row>1</xdr:row>
      <xdr:rowOff>163408</xdr:rowOff>
    </xdr:to>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stretch>
          <a:fillRect/>
        </a:stretch>
      </xdr:blipFill>
      <xdr:spPr>
        <a:xfrm>
          <a:off x="8688917" y="95250"/>
          <a:ext cx="1055726" cy="332741"/>
        </a:xfrm>
        <a:prstGeom prst="rect">
          <a:avLst/>
        </a:prstGeom>
      </xdr:spPr>
    </xdr:pic>
    <xdr:clientData/>
  </xdr:twoCellAnchor>
  <xdr:twoCellAnchor editAs="oneCell">
    <xdr:from>
      <xdr:col>9</xdr:col>
      <xdr:colOff>590550</xdr:colOff>
      <xdr:row>2</xdr:row>
      <xdr:rowOff>114300</xdr:rowOff>
    </xdr:from>
    <xdr:to>
      <xdr:col>11</xdr:col>
      <xdr:colOff>562218</xdr:colOff>
      <xdr:row>8</xdr:row>
      <xdr:rowOff>190726</xdr:rowOff>
    </xdr:to>
    <xdr:pic>
      <xdr:nvPicPr>
        <xdr:cNvPr id="12" name="Grafik 11">
          <a:extLst>
            <a:ext uri="{FF2B5EF4-FFF2-40B4-BE49-F238E27FC236}">
              <a16:creationId xmlns:a16="http://schemas.microsoft.com/office/drawing/2014/main" id="{6D7F0B55-0730-929B-EC3B-1D590A23CFB8}"/>
            </a:ext>
          </a:extLst>
        </xdr:cNvPr>
        <xdr:cNvPicPr>
          <a:picLocks noChangeAspect="1"/>
        </xdr:cNvPicPr>
      </xdr:nvPicPr>
      <xdr:blipFill>
        <a:blip xmlns:r="http://schemas.openxmlformats.org/officeDocument/2006/relationships" r:embed="rId2"/>
        <a:stretch>
          <a:fillRect/>
        </a:stretch>
      </xdr:blipFill>
      <xdr:spPr>
        <a:xfrm>
          <a:off x="8077200" y="657225"/>
          <a:ext cx="1743318" cy="1619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5836</xdr:colOff>
      <xdr:row>52</xdr:row>
      <xdr:rowOff>33024</xdr:rowOff>
    </xdr:from>
    <xdr:to>
      <xdr:col>8</xdr:col>
      <xdr:colOff>301302</xdr:colOff>
      <xdr:row>53</xdr:row>
      <xdr:rowOff>29159</xdr:rowOff>
    </xdr:to>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5662520" y="13202794"/>
              <a:ext cx="1267404" cy="248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de-DE" sz="1200" b="1" i="1">
                            <a:latin typeface="Cambria Math" panose="02040503050406030204" pitchFamily="18" charset="0"/>
                          </a:rPr>
                        </m:ctrlPr>
                      </m:sSubPr>
                      <m:e>
                        <m:r>
                          <a:rPr lang="de-DE" sz="1200" b="1" i="0">
                            <a:latin typeface="Cambria Math" panose="02040503050406030204" pitchFamily="18" charset="0"/>
                          </a:rPr>
                          <m:t>𝐇</m:t>
                        </m:r>
                      </m:e>
                      <m:sub>
                        <m:r>
                          <a:rPr lang="de-DE" sz="1200" b="1" i="1">
                            <a:latin typeface="Cambria Math" panose="02040503050406030204" pitchFamily="18" charset="0"/>
                          </a:rPr>
                          <m:t>𝑽</m:t>
                        </m:r>
                      </m:sub>
                    </m:sSub>
                    <m:r>
                      <a:rPr lang="de-DE" sz="1200" b="1" i="0">
                        <a:latin typeface="Cambria Math" panose="02040503050406030204" pitchFamily="18" charset="0"/>
                      </a:rPr>
                      <m:t>=</m:t>
                    </m:r>
                    <m:sSub>
                      <m:sSubPr>
                        <m:ctrlPr>
                          <a:rPr lang="de-DE" sz="1200" b="1" i="1">
                            <a:latin typeface="Cambria Math" panose="02040503050406030204" pitchFamily="18" charset="0"/>
                          </a:rPr>
                        </m:ctrlPr>
                      </m:sSubPr>
                      <m:e>
                        <m:r>
                          <a:rPr lang="de-DE" sz="1200" b="1" i="0">
                            <a:latin typeface="Cambria Math" panose="02040503050406030204" pitchFamily="18" charset="0"/>
                          </a:rPr>
                          <m:t>𝐇</m:t>
                        </m:r>
                      </m:e>
                      <m:sub>
                        <m:r>
                          <a:rPr lang="de-DE" sz="1200" b="1" i="0">
                            <a:latin typeface="Cambria Math" panose="02040503050406030204" pitchFamily="18" charset="0"/>
                          </a:rPr>
                          <m:t>𝐕</m:t>
                        </m:r>
                        <m:r>
                          <a:rPr lang="de-DE" sz="1200" b="1" i="0">
                            <a:latin typeface="Cambria Math" panose="02040503050406030204" pitchFamily="18" charset="0"/>
                          </a:rPr>
                          <m:t>,</m:t>
                        </m:r>
                        <m:r>
                          <a:rPr lang="de-DE" sz="1200" b="1" i="0">
                            <a:latin typeface="Cambria Math" panose="02040503050406030204" pitchFamily="18" charset="0"/>
                          </a:rPr>
                          <m:t>𝐑</m:t>
                        </m:r>
                      </m:sub>
                    </m:sSub>
                    <m:r>
                      <a:rPr lang="de-DE" sz="1200" b="1" i="0">
                        <a:latin typeface="Cambria Math" panose="02040503050406030204" pitchFamily="18" charset="0"/>
                      </a:rPr>
                      <m:t>+</m:t>
                    </m:r>
                    <m:sSub>
                      <m:sSubPr>
                        <m:ctrlPr>
                          <a:rPr lang="de-DE" sz="1200" b="1" i="1">
                            <a:latin typeface="Cambria Math" panose="02040503050406030204" pitchFamily="18" charset="0"/>
                          </a:rPr>
                        </m:ctrlPr>
                      </m:sSubPr>
                      <m:e>
                        <m:r>
                          <a:rPr lang="de-DE" sz="1200" b="1" i="0">
                            <a:latin typeface="Cambria Math" panose="02040503050406030204" pitchFamily="18" charset="0"/>
                          </a:rPr>
                          <m:t>𝐇</m:t>
                        </m:r>
                      </m:e>
                      <m:sub>
                        <m:r>
                          <a:rPr lang="de-DE" sz="1200" b="1" i="0">
                            <a:latin typeface="Cambria Math" panose="02040503050406030204" pitchFamily="18" charset="0"/>
                          </a:rPr>
                          <m:t>𝐕</m:t>
                        </m:r>
                        <m:r>
                          <a:rPr lang="de-DE" sz="1200" b="1" i="0">
                            <a:latin typeface="Cambria Math" panose="02040503050406030204" pitchFamily="18" charset="0"/>
                          </a:rPr>
                          <m:t>,</m:t>
                        </m:r>
                        <m:r>
                          <a:rPr lang="de-DE" sz="1200" b="1" i="0">
                            <a:latin typeface="Cambria Math" panose="02040503050406030204" pitchFamily="18" charset="0"/>
                          </a:rPr>
                          <m:t>𝐀</m:t>
                        </m:r>
                      </m:sub>
                    </m:sSub>
                  </m:oMath>
                </m:oMathPara>
              </a14:m>
              <a:endParaRPr lang="de-DE" sz="2000" b="1" i="0"/>
            </a:p>
          </xdr:txBody>
        </xdr:sp>
      </mc:Choice>
      <mc:Fallback xmlns="">
        <xdr:sp macro="" textlink="">
          <xdr:nvSpPr>
            <xdr:cNvPr id="3" name="Textfeld 2"/>
            <xdr:cNvSpPr txBox="1"/>
          </xdr:nvSpPr>
          <xdr:spPr>
            <a:xfrm>
              <a:off x="5662520" y="13202794"/>
              <a:ext cx="1267404" cy="248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1200" b="1" i="0">
                  <a:latin typeface="Cambria Math" panose="02040503050406030204" pitchFamily="18" charset="0"/>
                </a:rPr>
                <a:t>𝐇_𝑽=𝐇_(𝐕,𝐑)+𝐇_(𝐕,𝐀)</a:t>
              </a:r>
              <a:endParaRPr lang="de-DE" sz="2000" b="1" i="0"/>
            </a:p>
          </xdr:txBody>
        </xdr:sp>
      </mc:Fallback>
    </mc:AlternateContent>
    <xdr:clientData/>
  </xdr:twoCellAnchor>
  <xdr:twoCellAnchor>
    <xdr:from>
      <xdr:col>3</xdr:col>
      <xdr:colOff>590938</xdr:colOff>
      <xdr:row>19</xdr:row>
      <xdr:rowOff>74595</xdr:rowOff>
    </xdr:from>
    <xdr:to>
      <xdr:col>6</xdr:col>
      <xdr:colOff>632392</xdr:colOff>
      <xdr:row>22</xdr:row>
      <xdr:rowOff>10010</xdr:rowOff>
    </xdr:to>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2865275" y="4399723"/>
              <a:ext cx="2665688" cy="693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de-DE" sz="1200" b="1" i="0">
                        <a:latin typeface="Cambria Math" panose="02040503050406030204" pitchFamily="18" charset="0"/>
                      </a:rPr>
                      <m:t>𝐇</m:t>
                    </m:r>
                    <m:r>
                      <a:rPr lang="de-DE" sz="1200" b="1" i="0" baseline="-25000">
                        <a:latin typeface="Cambria Math" panose="02040503050406030204" pitchFamily="18" charset="0"/>
                      </a:rPr>
                      <m:t>𝐕</m:t>
                    </m:r>
                    <m:r>
                      <a:rPr lang="de-DE" sz="1200" b="1" i="0">
                        <a:latin typeface="Cambria Math" panose="02040503050406030204" pitchFamily="18" charset="0"/>
                      </a:rPr>
                      <m:t>=(</m:t>
                    </m:r>
                    <m:r>
                      <a:rPr lang="de-DE" sz="1200" b="1" i="0">
                        <a:latin typeface="Cambria Math" panose="02040503050406030204" pitchFamily="18" charset="0"/>
                      </a:rPr>
                      <m:t>𝛌</m:t>
                    </m:r>
                    <m:r>
                      <a:rPr lang="de-DE" sz="1200" b="1" i="0">
                        <a:latin typeface="Cambria Math" panose="02040503050406030204" pitchFamily="18" charset="0"/>
                      </a:rPr>
                      <m:t>⋅</m:t>
                    </m:r>
                    <m:f>
                      <m:fPr>
                        <m:ctrlPr>
                          <a:rPr lang="de-DE" sz="1200" b="1" i="1">
                            <a:latin typeface="Cambria Math" panose="02040503050406030204" pitchFamily="18" charset="0"/>
                          </a:rPr>
                        </m:ctrlPr>
                      </m:fPr>
                      <m:num>
                        <m:r>
                          <a:rPr lang="de-DE" sz="1200" b="1" i="0">
                            <a:latin typeface="Cambria Math" panose="02040503050406030204" pitchFamily="18" charset="0"/>
                          </a:rPr>
                          <m:t>𝐥</m:t>
                        </m:r>
                      </m:num>
                      <m:den>
                        <m:r>
                          <a:rPr lang="de-DE" sz="1200" b="1" i="0">
                            <a:latin typeface="Cambria Math" panose="02040503050406030204" pitchFamily="18" charset="0"/>
                          </a:rPr>
                          <m:t>𝐝</m:t>
                        </m:r>
                      </m:den>
                    </m:f>
                    <m:r>
                      <a:rPr lang="de-DE" sz="1200" b="1" i="0">
                        <a:latin typeface="Cambria Math" panose="02040503050406030204" pitchFamily="18" charset="0"/>
                      </a:rPr>
                      <m:t>+</m:t>
                    </m:r>
                    <m:r>
                      <a:rPr lang="el-GR" sz="1200" b="1" i="0">
                        <a:latin typeface="Cambria Math" panose="02040503050406030204" pitchFamily="18" charset="0"/>
                      </a:rPr>
                      <m:t>𝚺</m:t>
                    </m:r>
                    <m:r>
                      <a:rPr lang="de-DE" sz="1050" b="1" i="0">
                        <a:solidFill>
                          <a:schemeClr val="tx1"/>
                        </a:solidFill>
                        <a:effectLst/>
                        <a:latin typeface="Cambria Math" panose="02040503050406030204" pitchFamily="18" charset="0"/>
                        <a:ea typeface="+mn-ea"/>
                        <a:cs typeface="+mn-cs"/>
                      </a:rPr>
                      <m:t>𝛇</m:t>
                    </m:r>
                    <m:r>
                      <a:rPr lang="de-DE" sz="1050" b="1" i="0">
                        <a:solidFill>
                          <a:schemeClr val="tx1"/>
                        </a:solidFill>
                        <a:effectLst/>
                        <a:latin typeface="Cambria Math" panose="02040503050406030204" pitchFamily="18" charset="0"/>
                        <a:ea typeface="+mn-ea"/>
                        <a:cs typeface="+mn-cs"/>
                      </a:rPr>
                      <m:t>)</m:t>
                    </m:r>
                    <m:r>
                      <a:rPr lang="de-DE" sz="1200" b="1" i="0">
                        <a:latin typeface="Cambria Math" panose="02040503050406030204" pitchFamily="18" charset="0"/>
                      </a:rPr>
                      <m:t>⋅</m:t>
                    </m:r>
                    <m:f>
                      <m:fPr>
                        <m:ctrlPr>
                          <a:rPr lang="de-DE" sz="1200" b="1" i="1">
                            <a:latin typeface="Cambria Math" panose="02040503050406030204" pitchFamily="18" charset="0"/>
                          </a:rPr>
                        </m:ctrlPr>
                      </m:fPr>
                      <m:num>
                        <m:sSup>
                          <m:sSupPr>
                            <m:ctrlPr>
                              <a:rPr lang="de-DE" sz="1200" b="1" i="1">
                                <a:latin typeface="Cambria Math" panose="02040503050406030204" pitchFamily="18" charset="0"/>
                              </a:rPr>
                            </m:ctrlPr>
                          </m:sSupPr>
                          <m:e>
                            <m:r>
                              <a:rPr lang="de-DE" sz="1200" b="1" i="0">
                                <a:latin typeface="Cambria Math" panose="02040503050406030204" pitchFamily="18" charset="0"/>
                              </a:rPr>
                              <m:t>𝐯</m:t>
                            </m:r>
                          </m:e>
                          <m:sup>
                            <m:r>
                              <a:rPr lang="de-DE" sz="1200" b="1" i="0">
                                <a:latin typeface="Cambria Math" panose="02040503050406030204" pitchFamily="18" charset="0"/>
                              </a:rPr>
                              <m:t>𝟐</m:t>
                            </m:r>
                          </m:sup>
                        </m:sSup>
                      </m:num>
                      <m:den>
                        <m:r>
                          <a:rPr lang="de-DE" sz="1200" b="1" i="0">
                            <a:latin typeface="Cambria Math" panose="02040503050406030204" pitchFamily="18" charset="0"/>
                          </a:rPr>
                          <m:t>𝟐</m:t>
                        </m:r>
                        <m:r>
                          <a:rPr lang="de-DE" sz="1200" b="1" i="0">
                            <a:latin typeface="Cambria Math" panose="02040503050406030204" pitchFamily="18" charset="0"/>
                          </a:rPr>
                          <m:t>⋅</m:t>
                        </m:r>
                        <m:r>
                          <a:rPr lang="de-DE" sz="1200" b="1" i="0">
                            <a:latin typeface="Cambria Math" panose="02040503050406030204" pitchFamily="18" charset="0"/>
                          </a:rPr>
                          <m:t>𝐠</m:t>
                        </m:r>
                      </m:den>
                    </m:f>
                  </m:oMath>
                </m:oMathPara>
              </a14:m>
              <a:endParaRPr lang="de-DE" sz="1200" b="1" i="0"/>
            </a:p>
          </xdr:txBody>
        </xdr:sp>
      </mc:Choice>
      <mc:Fallback xmlns="">
        <xdr:sp macro="" textlink="">
          <xdr:nvSpPr>
            <xdr:cNvPr id="4" name="Textfeld 3"/>
            <xdr:cNvSpPr txBox="1"/>
          </xdr:nvSpPr>
          <xdr:spPr>
            <a:xfrm>
              <a:off x="2865275" y="4399723"/>
              <a:ext cx="2665688" cy="693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1200" b="1" i="0">
                  <a:latin typeface="Cambria Math" panose="02040503050406030204" pitchFamily="18" charset="0"/>
                </a:rPr>
                <a:t>𝐇</a:t>
              </a:r>
              <a:r>
                <a:rPr lang="de-DE" sz="1200" b="1" i="0" baseline="-25000">
                  <a:latin typeface="Cambria Math" panose="02040503050406030204" pitchFamily="18" charset="0"/>
                </a:rPr>
                <a:t>𝐕</a:t>
              </a:r>
              <a:r>
                <a:rPr lang="de-DE" sz="1200" b="1" i="0">
                  <a:latin typeface="Cambria Math" panose="02040503050406030204" pitchFamily="18" charset="0"/>
                </a:rPr>
                <a:t>=(𝛌⋅𝐥/𝐝+</a:t>
              </a:r>
              <a:r>
                <a:rPr lang="el-GR" sz="1200" b="1" i="0">
                  <a:latin typeface="Cambria Math" panose="02040503050406030204" pitchFamily="18" charset="0"/>
                </a:rPr>
                <a:t>𝚺</a:t>
              </a:r>
              <a:r>
                <a:rPr lang="de-DE" sz="1050" b="1" i="0">
                  <a:solidFill>
                    <a:schemeClr val="tx1"/>
                  </a:solidFill>
                  <a:effectLst/>
                  <a:latin typeface="Cambria Math" panose="02040503050406030204" pitchFamily="18" charset="0"/>
                  <a:ea typeface="+mn-ea"/>
                  <a:cs typeface="+mn-cs"/>
                </a:rPr>
                <a:t>𝛇)</a:t>
              </a:r>
              <a:r>
                <a:rPr lang="de-DE" sz="1200" b="1" i="0">
                  <a:latin typeface="Cambria Math" panose="02040503050406030204" pitchFamily="18" charset="0"/>
                </a:rPr>
                <a:t>⋅𝐯^𝟐/(𝟐⋅𝐠)</a:t>
              </a:r>
              <a:endParaRPr lang="de-DE" sz="1200" b="1" i="0"/>
            </a:p>
          </xdr:txBody>
        </xdr:sp>
      </mc:Fallback>
    </mc:AlternateContent>
    <xdr:clientData/>
  </xdr:twoCellAnchor>
  <xdr:twoCellAnchor>
    <xdr:from>
      <xdr:col>3</xdr:col>
      <xdr:colOff>577090</xdr:colOff>
      <xdr:row>14</xdr:row>
      <xdr:rowOff>24055</xdr:rowOff>
    </xdr:from>
    <xdr:to>
      <xdr:col>6</xdr:col>
      <xdr:colOff>246096</xdr:colOff>
      <xdr:row>15</xdr:row>
      <xdr:rowOff>104345</xdr:rowOff>
    </xdr:to>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00000000-0008-0000-0200-000005000000}"/>
                </a:ext>
              </a:extLst>
            </xdr:cNvPr>
            <xdr:cNvSpPr txBox="1"/>
          </xdr:nvSpPr>
          <xdr:spPr>
            <a:xfrm>
              <a:off x="2851427" y="3085662"/>
              <a:ext cx="2293240" cy="3329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de-DE" sz="1200" b="1" i="1">
                            <a:latin typeface="Cambria Math" panose="02040503050406030204" pitchFamily="18" charset="0"/>
                          </a:rPr>
                        </m:ctrlPr>
                      </m:sSubPr>
                      <m:e>
                        <m:r>
                          <a:rPr lang="de-DE" sz="1200" b="1" i="0">
                            <a:latin typeface="Cambria Math" panose="02040503050406030204" pitchFamily="18" charset="0"/>
                          </a:rPr>
                          <m:t>𝐇</m:t>
                        </m:r>
                      </m:e>
                      <m:sub>
                        <m:r>
                          <a:rPr lang="de-DE" sz="1200" b="1" i="1">
                            <a:latin typeface="Cambria Math" panose="02040503050406030204" pitchFamily="18" charset="0"/>
                          </a:rPr>
                          <m:t>𝒕𝒐𝒕</m:t>
                        </m:r>
                      </m:sub>
                    </m:sSub>
                    <m:r>
                      <a:rPr lang="de-DE" sz="1200" b="1" i="0">
                        <a:latin typeface="Cambria Math" panose="02040503050406030204" pitchFamily="18" charset="0"/>
                      </a:rPr>
                      <m:t>=</m:t>
                    </m:r>
                    <m:sSub>
                      <m:sSubPr>
                        <m:ctrlPr>
                          <a:rPr lang="de-DE" sz="1200" b="1" i="1">
                            <a:latin typeface="Cambria Math" panose="02040503050406030204" pitchFamily="18" charset="0"/>
                          </a:rPr>
                        </m:ctrlPr>
                      </m:sSubPr>
                      <m:e>
                        <m:r>
                          <a:rPr lang="de-DE" sz="1200" b="1" i="0">
                            <a:latin typeface="Cambria Math" panose="02040503050406030204" pitchFamily="18" charset="0"/>
                          </a:rPr>
                          <m:t>𝐇</m:t>
                        </m:r>
                      </m:e>
                      <m:sub>
                        <m:r>
                          <a:rPr lang="de-DE" sz="1200" b="1" i="0">
                            <a:latin typeface="Cambria Math" panose="02040503050406030204" pitchFamily="18" charset="0"/>
                          </a:rPr>
                          <m:t>𝐕</m:t>
                        </m:r>
                      </m:sub>
                    </m:sSub>
                    <m:r>
                      <a:rPr lang="de-DE" sz="1200" b="1" i="0">
                        <a:latin typeface="Cambria Math" panose="02040503050406030204" pitchFamily="18" charset="0"/>
                      </a:rPr>
                      <m:t>+</m:t>
                    </m:r>
                    <m:sSub>
                      <m:sSubPr>
                        <m:ctrlPr>
                          <a:rPr lang="de-DE" sz="1200" b="1" i="1">
                            <a:latin typeface="Cambria Math" panose="02040503050406030204" pitchFamily="18" charset="0"/>
                          </a:rPr>
                        </m:ctrlPr>
                      </m:sSubPr>
                      <m:e>
                        <m:r>
                          <a:rPr lang="de-DE" sz="1200" b="1" i="0">
                            <a:latin typeface="Cambria Math" panose="02040503050406030204" pitchFamily="18" charset="0"/>
                          </a:rPr>
                          <m:t>𝐇</m:t>
                        </m:r>
                      </m:e>
                      <m:sub>
                        <m:r>
                          <a:rPr lang="de-DE" sz="1200" b="1" i="1">
                            <a:latin typeface="Cambria Math" panose="02040503050406030204" pitchFamily="18" charset="0"/>
                          </a:rPr>
                          <m:t>𝒈𝒆𝒐</m:t>
                        </m:r>
                      </m:sub>
                    </m:sSub>
                  </m:oMath>
                </m:oMathPara>
              </a14:m>
              <a:endParaRPr lang="de-DE" sz="1600" b="1" i="0"/>
            </a:p>
          </xdr:txBody>
        </xdr:sp>
      </mc:Choice>
      <mc:Fallback xmlns="">
        <xdr:sp macro="" textlink="">
          <xdr:nvSpPr>
            <xdr:cNvPr id="5" name="Textfeld 4"/>
            <xdr:cNvSpPr txBox="1"/>
          </xdr:nvSpPr>
          <xdr:spPr>
            <a:xfrm>
              <a:off x="2851427" y="3085662"/>
              <a:ext cx="2293240" cy="3329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1200" b="1" i="0">
                  <a:latin typeface="Cambria Math" panose="02040503050406030204" pitchFamily="18" charset="0"/>
                </a:rPr>
                <a:t>𝐇_𝒕𝒐𝒕=𝐇_𝐕+𝐇_𝒈𝒆𝒐</a:t>
              </a:r>
              <a:endParaRPr lang="de-DE" sz="1600" b="1" i="0"/>
            </a:p>
          </xdr:txBody>
        </xdr:sp>
      </mc:Fallback>
    </mc:AlternateContent>
    <xdr:clientData/>
  </xdr:twoCellAnchor>
  <xdr:twoCellAnchor>
    <xdr:from>
      <xdr:col>4</xdr:col>
      <xdr:colOff>0</xdr:colOff>
      <xdr:row>73</xdr:row>
      <xdr:rowOff>0</xdr:rowOff>
    </xdr:from>
    <xdr:to>
      <xdr:col>11</xdr:col>
      <xdr:colOff>1117730</xdr:colOff>
      <xdr:row>88</xdr:row>
      <xdr:rowOff>44224</xdr:rowOff>
    </xdr:to>
    <xdr:graphicFrame macro="">
      <xdr:nvGraphicFramePr>
        <xdr:cNvPr id="7" name="Diagramm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738675</xdr:colOff>
      <xdr:row>113</xdr:row>
      <xdr:rowOff>213826</xdr:rowOff>
    </xdr:from>
    <xdr:to>
      <xdr:col>3</xdr:col>
      <xdr:colOff>19634</xdr:colOff>
      <xdr:row>115</xdr:row>
      <xdr:rowOff>77755</xdr:rowOff>
    </xdr:to>
    <mc:AlternateContent xmlns:mc="http://schemas.openxmlformats.org/markup-compatibility/2006" xmlns:a14="http://schemas.microsoft.com/office/drawing/2010/main">
      <mc:Choice Requires="a14">
        <xdr:sp macro="" textlink="">
          <xdr:nvSpPr>
            <xdr:cNvPr id="9" name="Textfeld 8">
              <a:extLst>
                <a:ext uri="{FF2B5EF4-FFF2-40B4-BE49-F238E27FC236}">
                  <a16:creationId xmlns:a16="http://schemas.microsoft.com/office/drawing/2014/main" id="{00000000-0008-0000-0200-000009000000}"/>
                </a:ext>
              </a:extLst>
            </xdr:cNvPr>
            <xdr:cNvSpPr txBox="1"/>
          </xdr:nvSpPr>
          <xdr:spPr>
            <a:xfrm>
              <a:off x="1496787" y="31179795"/>
              <a:ext cx="797184" cy="3693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de-DE" sz="1200" i="1">
                        <a:solidFill>
                          <a:schemeClr val="bg1"/>
                        </a:solidFill>
                        <a:latin typeface="Cambria Math" panose="02040503050406030204" pitchFamily="18" charset="0"/>
                      </a:rPr>
                      <m:t>𝑅</m:t>
                    </m:r>
                    <m:r>
                      <a:rPr lang="de-DE" sz="1200" i="1">
                        <a:solidFill>
                          <a:schemeClr val="bg1"/>
                        </a:solidFill>
                        <a:latin typeface="Cambria Math" panose="02040503050406030204" pitchFamily="18" charset="0"/>
                      </a:rPr>
                      <m:t>ⅇ=</m:t>
                    </m:r>
                    <m:f>
                      <m:fPr>
                        <m:ctrlPr>
                          <a:rPr lang="de-DE" sz="1200" i="1">
                            <a:solidFill>
                              <a:schemeClr val="bg1"/>
                            </a:solidFill>
                            <a:latin typeface="Cambria Math" panose="02040503050406030204" pitchFamily="18" charset="0"/>
                          </a:rPr>
                        </m:ctrlPr>
                      </m:fPr>
                      <m:num>
                        <m:r>
                          <a:rPr lang="de-DE" sz="1200" b="0" i="1">
                            <a:solidFill>
                              <a:schemeClr val="bg1"/>
                            </a:solidFill>
                            <a:latin typeface="Cambria Math" panose="02040503050406030204" pitchFamily="18" charset="0"/>
                          </a:rPr>
                          <m:t>𝑣</m:t>
                        </m:r>
                        <m:r>
                          <a:rPr lang="de-DE" sz="1200" i="1">
                            <a:solidFill>
                              <a:schemeClr val="bg1"/>
                            </a:solidFill>
                            <a:latin typeface="Cambria Math" panose="02040503050406030204" pitchFamily="18" charset="0"/>
                          </a:rPr>
                          <m:t>⋅</m:t>
                        </m:r>
                        <m:r>
                          <a:rPr lang="de-DE" sz="1200" b="0" i="1">
                            <a:solidFill>
                              <a:schemeClr val="bg1"/>
                            </a:solidFill>
                            <a:latin typeface="Cambria Math" panose="02040503050406030204" pitchFamily="18" charset="0"/>
                          </a:rPr>
                          <m:t>𝑑</m:t>
                        </m:r>
                      </m:num>
                      <m:den>
                        <m:r>
                          <a:rPr lang="de-DE" sz="1200" i="1">
                            <a:solidFill>
                              <a:schemeClr val="bg1"/>
                            </a:solidFill>
                            <a:latin typeface="Cambria Math" panose="02040503050406030204" pitchFamily="18" charset="0"/>
                            <a:ea typeface="Cambria Math" panose="02040503050406030204" pitchFamily="18" charset="0"/>
                          </a:rPr>
                          <m:t>𝜈</m:t>
                        </m:r>
                      </m:den>
                    </m:f>
                  </m:oMath>
                </m:oMathPara>
              </a14:m>
              <a:endParaRPr lang="de-DE" sz="3200">
                <a:solidFill>
                  <a:schemeClr val="bg1"/>
                </a:solidFill>
              </a:endParaRPr>
            </a:p>
          </xdr:txBody>
        </xdr:sp>
      </mc:Choice>
      <mc:Fallback xmlns="">
        <xdr:sp macro="" textlink="">
          <xdr:nvSpPr>
            <xdr:cNvPr id="9" name="Textfeld 8"/>
            <xdr:cNvSpPr txBox="1"/>
          </xdr:nvSpPr>
          <xdr:spPr>
            <a:xfrm>
              <a:off x="1496787" y="31179795"/>
              <a:ext cx="797184" cy="3693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1200" i="0">
                  <a:solidFill>
                    <a:schemeClr val="bg1"/>
                  </a:solidFill>
                  <a:latin typeface="Cambria Math" panose="02040503050406030204" pitchFamily="18" charset="0"/>
                </a:rPr>
                <a:t>𝑅ⅇ=(</a:t>
              </a:r>
              <a:r>
                <a:rPr lang="de-DE" sz="1200" b="0" i="0">
                  <a:solidFill>
                    <a:schemeClr val="bg1"/>
                  </a:solidFill>
                  <a:latin typeface="Cambria Math" panose="02040503050406030204" pitchFamily="18" charset="0"/>
                </a:rPr>
                <a:t>𝑣</a:t>
              </a:r>
              <a:r>
                <a:rPr lang="de-DE" sz="1200" i="0">
                  <a:solidFill>
                    <a:schemeClr val="bg1"/>
                  </a:solidFill>
                  <a:latin typeface="Cambria Math" panose="02040503050406030204" pitchFamily="18" charset="0"/>
                </a:rPr>
                <a:t>⋅</a:t>
              </a:r>
              <a:r>
                <a:rPr lang="de-DE" sz="1200" b="0" i="0">
                  <a:solidFill>
                    <a:schemeClr val="bg1"/>
                  </a:solidFill>
                  <a:latin typeface="Cambria Math" panose="02040503050406030204" pitchFamily="18" charset="0"/>
                </a:rPr>
                <a:t>𝑑)/</a:t>
              </a:r>
              <a:r>
                <a:rPr lang="de-DE" sz="1200" i="0">
                  <a:solidFill>
                    <a:schemeClr val="bg1"/>
                  </a:solidFill>
                  <a:latin typeface="Cambria Math" panose="02040503050406030204" pitchFamily="18" charset="0"/>
                  <a:ea typeface="Cambria Math" panose="02040503050406030204" pitchFamily="18" charset="0"/>
                </a:rPr>
                <a:t>𝜈</a:t>
              </a:r>
              <a:endParaRPr lang="de-DE" sz="3200">
                <a:solidFill>
                  <a:schemeClr val="bg1"/>
                </a:solidFill>
              </a:endParaRPr>
            </a:p>
          </xdr:txBody>
        </xdr:sp>
      </mc:Fallback>
    </mc:AlternateContent>
    <xdr:clientData/>
  </xdr:twoCellAnchor>
  <xdr:twoCellAnchor>
    <xdr:from>
      <xdr:col>3</xdr:col>
      <xdr:colOff>612321</xdr:colOff>
      <xdr:row>113</xdr:row>
      <xdr:rowOff>204107</xdr:rowOff>
    </xdr:from>
    <xdr:to>
      <xdr:col>6</xdr:col>
      <xdr:colOff>118798</xdr:colOff>
      <xdr:row>115</xdr:row>
      <xdr:rowOff>119648</xdr:rowOff>
    </xdr:to>
    <mc:AlternateContent xmlns:mc="http://schemas.openxmlformats.org/markup-compatibility/2006" xmlns:a14="http://schemas.microsoft.com/office/drawing/2010/main">
      <mc:Choice Requires="a14">
        <xdr:sp macro="" textlink="">
          <xdr:nvSpPr>
            <xdr:cNvPr id="10" name="Textfeld 9">
              <a:extLst>
                <a:ext uri="{FF2B5EF4-FFF2-40B4-BE49-F238E27FC236}">
                  <a16:creationId xmlns:a16="http://schemas.microsoft.com/office/drawing/2014/main" id="{00000000-0008-0000-0200-00000A000000}"/>
                </a:ext>
              </a:extLst>
            </xdr:cNvPr>
            <xdr:cNvSpPr txBox="1"/>
          </xdr:nvSpPr>
          <xdr:spPr>
            <a:xfrm>
              <a:off x="2886658" y="25406479"/>
              <a:ext cx="2130711" cy="420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de-DE" sz="1200" i="1">
                            <a:solidFill>
                              <a:schemeClr val="bg1"/>
                            </a:solidFill>
                            <a:latin typeface="Cambria Math" panose="02040503050406030204" pitchFamily="18" charset="0"/>
                          </a:rPr>
                        </m:ctrlPr>
                      </m:fPr>
                      <m:num>
                        <m:r>
                          <a:rPr lang="de-DE" sz="1200" i="1">
                            <a:solidFill>
                              <a:schemeClr val="bg1"/>
                            </a:solidFill>
                            <a:latin typeface="Cambria Math" panose="02040503050406030204" pitchFamily="18" charset="0"/>
                          </a:rPr>
                          <m:t>1</m:t>
                        </m:r>
                      </m:num>
                      <m:den>
                        <m:rad>
                          <m:radPr>
                            <m:degHide m:val="on"/>
                            <m:ctrlPr>
                              <a:rPr lang="de-DE" sz="1200" i="1">
                                <a:solidFill>
                                  <a:schemeClr val="bg1"/>
                                </a:solidFill>
                                <a:latin typeface="Cambria Math" panose="02040503050406030204" pitchFamily="18" charset="0"/>
                              </a:rPr>
                            </m:ctrlPr>
                          </m:radPr>
                          <m:deg/>
                          <m:e>
                            <m:r>
                              <a:rPr lang="de-DE" sz="1200" i="1">
                                <a:solidFill>
                                  <a:schemeClr val="bg1"/>
                                </a:solidFill>
                                <a:latin typeface="Cambria Math" panose="02040503050406030204" pitchFamily="18" charset="0"/>
                              </a:rPr>
                              <m:t>𝜆</m:t>
                            </m:r>
                          </m:e>
                        </m:rad>
                      </m:den>
                    </m:f>
                    <m:r>
                      <a:rPr lang="de-DE" sz="1200" i="1">
                        <a:solidFill>
                          <a:schemeClr val="bg1"/>
                        </a:solidFill>
                        <a:latin typeface="Cambria Math" panose="02040503050406030204" pitchFamily="18" charset="0"/>
                      </a:rPr>
                      <m:t>=−2</m:t>
                    </m:r>
                    <m:r>
                      <a:rPr lang="de-DE" sz="1200" i="1">
                        <a:solidFill>
                          <a:schemeClr val="bg1"/>
                        </a:solidFill>
                        <a:latin typeface="Cambria Math" panose="02040503050406030204" pitchFamily="18" charset="0"/>
                      </a:rPr>
                      <m:t>𝑙𝑔</m:t>
                    </m:r>
                    <m:d>
                      <m:dPr>
                        <m:begChr m:val="["/>
                        <m:endChr m:val="]"/>
                        <m:ctrlPr>
                          <a:rPr lang="de-DE" sz="1200" i="1">
                            <a:solidFill>
                              <a:schemeClr val="bg1"/>
                            </a:solidFill>
                            <a:latin typeface="Cambria Math" panose="02040503050406030204" pitchFamily="18" charset="0"/>
                          </a:rPr>
                        </m:ctrlPr>
                      </m:dPr>
                      <m:e>
                        <m:f>
                          <m:fPr>
                            <m:ctrlPr>
                              <a:rPr lang="de-DE" sz="1200" i="1">
                                <a:solidFill>
                                  <a:schemeClr val="bg1"/>
                                </a:solidFill>
                                <a:latin typeface="Cambria Math" panose="02040503050406030204" pitchFamily="18" charset="0"/>
                              </a:rPr>
                            </m:ctrlPr>
                          </m:fPr>
                          <m:num>
                            <m:r>
                              <a:rPr lang="de-DE" sz="1200" i="1">
                                <a:solidFill>
                                  <a:schemeClr val="bg1"/>
                                </a:solidFill>
                                <a:latin typeface="Cambria Math" panose="02040503050406030204" pitchFamily="18" charset="0"/>
                              </a:rPr>
                              <m:t>2,51</m:t>
                            </m:r>
                          </m:num>
                          <m:den>
                            <m:sSub>
                              <m:sSubPr>
                                <m:ctrlPr>
                                  <a:rPr lang="de-DE" sz="1200" i="1">
                                    <a:solidFill>
                                      <a:schemeClr val="bg1"/>
                                    </a:solidFill>
                                    <a:latin typeface="Cambria Math" panose="02040503050406030204" pitchFamily="18" charset="0"/>
                                  </a:rPr>
                                </m:ctrlPr>
                              </m:sSubPr>
                              <m:e>
                                <m:r>
                                  <a:rPr lang="de-DE" sz="1200" i="1">
                                    <a:solidFill>
                                      <a:schemeClr val="bg1"/>
                                    </a:solidFill>
                                    <a:latin typeface="Cambria Math" panose="02040503050406030204" pitchFamily="18" charset="0"/>
                                  </a:rPr>
                                  <m:t>𝑅</m:t>
                                </m:r>
                              </m:e>
                              <m:sub>
                                <m:r>
                                  <a:rPr lang="de-DE" sz="1200" i="1">
                                    <a:solidFill>
                                      <a:schemeClr val="bg1"/>
                                    </a:solidFill>
                                    <a:latin typeface="Cambria Math" panose="02040503050406030204" pitchFamily="18" charset="0"/>
                                  </a:rPr>
                                  <m:t>𝑒</m:t>
                                </m:r>
                              </m:sub>
                            </m:sSub>
                            <m:r>
                              <a:rPr lang="de-DE" sz="1200" i="1">
                                <a:solidFill>
                                  <a:schemeClr val="bg1"/>
                                </a:solidFill>
                                <a:latin typeface="Cambria Math" panose="02040503050406030204" pitchFamily="18" charset="0"/>
                              </a:rPr>
                              <m:t>⋅</m:t>
                            </m:r>
                            <m:rad>
                              <m:radPr>
                                <m:degHide m:val="on"/>
                                <m:ctrlPr>
                                  <a:rPr lang="de-DE" sz="1200" i="1">
                                    <a:solidFill>
                                      <a:schemeClr val="bg1"/>
                                    </a:solidFill>
                                    <a:latin typeface="Cambria Math" panose="02040503050406030204" pitchFamily="18" charset="0"/>
                                  </a:rPr>
                                </m:ctrlPr>
                              </m:radPr>
                              <m:deg/>
                              <m:e>
                                <m:r>
                                  <a:rPr lang="de-DE" sz="1200" i="1">
                                    <a:solidFill>
                                      <a:schemeClr val="bg1"/>
                                    </a:solidFill>
                                    <a:latin typeface="Cambria Math" panose="02040503050406030204" pitchFamily="18" charset="0"/>
                                  </a:rPr>
                                  <m:t>𝜆</m:t>
                                </m:r>
                              </m:e>
                            </m:rad>
                          </m:den>
                        </m:f>
                        <m:r>
                          <a:rPr lang="de-DE" sz="1200" i="1">
                            <a:solidFill>
                              <a:schemeClr val="bg1"/>
                            </a:solidFill>
                            <a:latin typeface="Cambria Math" panose="02040503050406030204" pitchFamily="18" charset="0"/>
                          </a:rPr>
                          <m:t>+</m:t>
                        </m:r>
                        <m:f>
                          <m:fPr>
                            <m:ctrlPr>
                              <a:rPr lang="de-DE" sz="1200" i="1">
                                <a:solidFill>
                                  <a:schemeClr val="bg1"/>
                                </a:solidFill>
                                <a:latin typeface="Cambria Math" panose="02040503050406030204" pitchFamily="18" charset="0"/>
                              </a:rPr>
                            </m:ctrlPr>
                          </m:fPr>
                          <m:num>
                            <m:r>
                              <a:rPr lang="de-DE" sz="1200" i="1">
                                <a:solidFill>
                                  <a:schemeClr val="bg1"/>
                                </a:solidFill>
                                <a:latin typeface="Cambria Math" panose="02040503050406030204" pitchFamily="18" charset="0"/>
                              </a:rPr>
                              <m:t>𝑘</m:t>
                            </m:r>
                          </m:num>
                          <m:den>
                            <m:r>
                              <a:rPr lang="de-DE" sz="1200" i="1">
                                <a:solidFill>
                                  <a:schemeClr val="bg1"/>
                                </a:solidFill>
                                <a:latin typeface="Cambria Math" panose="02040503050406030204" pitchFamily="18" charset="0"/>
                              </a:rPr>
                              <m:t>𝑑</m:t>
                            </m:r>
                          </m:den>
                        </m:f>
                        <m:r>
                          <a:rPr lang="de-DE" sz="1200" i="1">
                            <a:solidFill>
                              <a:schemeClr val="bg1"/>
                            </a:solidFill>
                            <a:latin typeface="Cambria Math" panose="02040503050406030204" pitchFamily="18" charset="0"/>
                          </a:rPr>
                          <m:t>⋅0,269</m:t>
                        </m:r>
                      </m:e>
                    </m:d>
                  </m:oMath>
                </m:oMathPara>
              </a14:m>
              <a:endParaRPr lang="de-DE" sz="1100">
                <a:solidFill>
                  <a:schemeClr val="bg1"/>
                </a:solidFill>
              </a:endParaRPr>
            </a:p>
          </xdr:txBody>
        </xdr:sp>
      </mc:Choice>
      <mc:Fallback xmlns="">
        <xdr:sp macro="" textlink="">
          <xdr:nvSpPr>
            <xdr:cNvPr id="10" name="Textfeld 9">
              <a:extLst>
                <a:ext uri="{FF2B5EF4-FFF2-40B4-BE49-F238E27FC236}">
                  <a16:creationId xmlns:a16="http://schemas.microsoft.com/office/drawing/2014/main" id="{00000000-0008-0000-0200-00000A000000}"/>
                </a:ext>
              </a:extLst>
            </xdr:cNvPr>
            <xdr:cNvSpPr txBox="1"/>
          </xdr:nvSpPr>
          <xdr:spPr>
            <a:xfrm>
              <a:off x="2886658" y="25406479"/>
              <a:ext cx="2130711" cy="420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DE" sz="1200" i="0">
                  <a:solidFill>
                    <a:schemeClr val="bg1"/>
                  </a:solidFill>
                  <a:latin typeface="Cambria Math" panose="02040503050406030204" pitchFamily="18" charset="0"/>
                </a:rPr>
                <a:t>1/√𝜆=−2𝑙𝑔[2,51/(𝑅_𝑒⋅√𝜆)+𝑘/𝑑⋅0,269]</a:t>
              </a:r>
              <a:endParaRPr lang="de-DE" sz="1100">
                <a:solidFill>
                  <a:schemeClr val="bg1"/>
                </a:solidFill>
              </a:endParaRPr>
            </a:p>
          </xdr:txBody>
        </xdr:sp>
      </mc:Fallback>
    </mc:AlternateContent>
    <xdr:clientData/>
  </xdr:twoCellAnchor>
  <xdr:twoCellAnchor editAs="oneCell">
    <xdr:from>
      <xdr:col>4</xdr:col>
      <xdr:colOff>281862</xdr:colOff>
      <xdr:row>53</xdr:row>
      <xdr:rowOff>165228</xdr:rowOff>
    </xdr:from>
    <xdr:to>
      <xdr:col>6</xdr:col>
      <xdr:colOff>709516</xdr:colOff>
      <xdr:row>66</xdr:row>
      <xdr:rowOff>233266</xdr:rowOff>
    </xdr:to>
    <xdr:pic>
      <xdr:nvPicPr>
        <xdr:cNvPr id="13" name="Grafik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2"/>
        <a:stretch>
          <a:fillRect/>
        </a:stretch>
      </xdr:blipFill>
      <xdr:spPr>
        <a:xfrm>
          <a:off x="3314311" y="9797141"/>
          <a:ext cx="2293776" cy="3353191"/>
        </a:xfrm>
        <a:prstGeom prst="rect">
          <a:avLst/>
        </a:prstGeom>
      </xdr:spPr>
    </xdr:pic>
    <xdr:clientData/>
  </xdr:twoCellAnchor>
  <xdr:twoCellAnchor>
    <xdr:from>
      <xdr:col>4</xdr:col>
      <xdr:colOff>223546</xdr:colOff>
      <xdr:row>59</xdr:row>
      <xdr:rowOff>29158</xdr:rowOff>
    </xdr:from>
    <xdr:to>
      <xdr:col>4</xdr:col>
      <xdr:colOff>699796</xdr:colOff>
      <xdr:row>62</xdr:row>
      <xdr:rowOff>87475</xdr:rowOff>
    </xdr:to>
    <xdr:sp macro="" textlink="">
      <xdr:nvSpPr>
        <xdr:cNvPr id="14" name="Rechteck 13">
          <a:extLst>
            <a:ext uri="{FF2B5EF4-FFF2-40B4-BE49-F238E27FC236}">
              <a16:creationId xmlns:a16="http://schemas.microsoft.com/office/drawing/2014/main" id="{00000000-0008-0000-0200-00000E000000}"/>
            </a:ext>
          </a:extLst>
        </xdr:cNvPr>
        <xdr:cNvSpPr/>
      </xdr:nvSpPr>
      <xdr:spPr>
        <a:xfrm>
          <a:off x="3255995" y="11177296"/>
          <a:ext cx="476250" cy="81642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709516</xdr:colOff>
      <xdr:row>68</xdr:row>
      <xdr:rowOff>19439</xdr:rowOff>
    </xdr:from>
    <xdr:to>
      <xdr:col>8</xdr:col>
      <xdr:colOff>417399</xdr:colOff>
      <xdr:row>69</xdr:row>
      <xdr:rowOff>38878</xdr:rowOff>
    </xdr:to>
    <mc:AlternateContent xmlns:mc="http://schemas.openxmlformats.org/markup-compatibility/2006" xmlns:a14="http://schemas.microsoft.com/office/drawing/2010/main">
      <mc:Choice Requires="a14">
        <xdr:sp macro="" textlink="">
          <xdr:nvSpPr>
            <xdr:cNvPr id="15" name="Textfeld 14">
              <a:extLst>
                <a:ext uri="{FF2B5EF4-FFF2-40B4-BE49-F238E27FC236}">
                  <a16:creationId xmlns:a16="http://schemas.microsoft.com/office/drawing/2014/main" id="{00000000-0008-0000-0200-00000F000000}"/>
                </a:ext>
              </a:extLst>
            </xdr:cNvPr>
            <xdr:cNvSpPr txBox="1"/>
          </xdr:nvSpPr>
          <xdr:spPr>
            <a:xfrm>
              <a:off x="5608087" y="17232475"/>
              <a:ext cx="1437934" cy="272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de-DE" sz="1200" b="1" i="1">
                            <a:latin typeface="Cambria Math" panose="02040503050406030204" pitchFamily="18" charset="0"/>
                          </a:rPr>
                        </m:ctrlPr>
                      </m:sSubPr>
                      <m:e>
                        <m:r>
                          <a:rPr lang="de-DE" sz="1200" b="1" i="0">
                            <a:latin typeface="Cambria Math" panose="02040503050406030204" pitchFamily="18" charset="0"/>
                          </a:rPr>
                          <m:t>𝐇</m:t>
                        </m:r>
                      </m:e>
                      <m:sub>
                        <m:r>
                          <a:rPr lang="de-DE" sz="1200" b="1" i="1">
                            <a:latin typeface="Cambria Math" panose="02040503050406030204" pitchFamily="18" charset="0"/>
                          </a:rPr>
                          <m:t>𝒕𝒐𝒕</m:t>
                        </m:r>
                      </m:sub>
                    </m:sSub>
                    <m:r>
                      <a:rPr lang="de-DE" sz="1200" b="1" i="0">
                        <a:latin typeface="Cambria Math" panose="02040503050406030204" pitchFamily="18" charset="0"/>
                      </a:rPr>
                      <m:t>=</m:t>
                    </m:r>
                    <m:sSub>
                      <m:sSubPr>
                        <m:ctrlPr>
                          <a:rPr lang="de-DE" sz="1200" b="1" i="1">
                            <a:latin typeface="Cambria Math" panose="02040503050406030204" pitchFamily="18" charset="0"/>
                          </a:rPr>
                        </m:ctrlPr>
                      </m:sSubPr>
                      <m:e>
                        <m:r>
                          <a:rPr lang="de-DE" sz="1200" b="1" i="0">
                            <a:latin typeface="Cambria Math" panose="02040503050406030204" pitchFamily="18" charset="0"/>
                          </a:rPr>
                          <m:t>𝐇</m:t>
                        </m:r>
                      </m:e>
                      <m:sub>
                        <m:r>
                          <a:rPr lang="de-DE" sz="1200" b="1" i="0">
                            <a:latin typeface="Cambria Math" panose="02040503050406030204" pitchFamily="18" charset="0"/>
                          </a:rPr>
                          <m:t>𝐕</m:t>
                        </m:r>
                      </m:sub>
                    </m:sSub>
                    <m:r>
                      <a:rPr lang="de-DE" sz="1200" b="1" i="0">
                        <a:latin typeface="Cambria Math" panose="02040503050406030204" pitchFamily="18" charset="0"/>
                      </a:rPr>
                      <m:t>+</m:t>
                    </m:r>
                    <m:sSub>
                      <m:sSubPr>
                        <m:ctrlPr>
                          <a:rPr lang="de-DE" sz="1200" b="1" i="1">
                            <a:latin typeface="Cambria Math" panose="02040503050406030204" pitchFamily="18" charset="0"/>
                          </a:rPr>
                        </m:ctrlPr>
                      </m:sSubPr>
                      <m:e>
                        <m:r>
                          <a:rPr lang="de-DE" sz="1200" b="1" i="0">
                            <a:latin typeface="Cambria Math" panose="02040503050406030204" pitchFamily="18" charset="0"/>
                          </a:rPr>
                          <m:t>𝐇</m:t>
                        </m:r>
                      </m:e>
                      <m:sub>
                        <m:r>
                          <a:rPr lang="de-DE" sz="1200" b="1" i="1">
                            <a:latin typeface="Cambria Math" panose="02040503050406030204" pitchFamily="18" charset="0"/>
                          </a:rPr>
                          <m:t>𝒈𝒆𝒐</m:t>
                        </m:r>
                      </m:sub>
                    </m:sSub>
                  </m:oMath>
                </m:oMathPara>
              </a14:m>
              <a:endParaRPr lang="de-DE" sz="2000" b="1" i="0"/>
            </a:p>
          </xdr:txBody>
        </xdr:sp>
      </mc:Choice>
      <mc:Fallback xmlns="">
        <xdr:sp macro="" textlink="">
          <xdr:nvSpPr>
            <xdr:cNvPr id="15" name="Textfeld 14"/>
            <xdr:cNvSpPr txBox="1"/>
          </xdr:nvSpPr>
          <xdr:spPr>
            <a:xfrm>
              <a:off x="5608087" y="17232475"/>
              <a:ext cx="1437934" cy="272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1200" b="1" i="0">
                  <a:latin typeface="Cambria Math" panose="02040503050406030204" pitchFamily="18" charset="0"/>
                </a:rPr>
                <a:t>𝐇_𝒕𝒐𝒕=𝐇_𝐕+𝐇_𝒈𝒆𝒐</a:t>
              </a:r>
              <a:endParaRPr lang="de-DE" sz="2000" b="1" i="0"/>
            </a:p>
          </xdr:txBody>
        </xdr:sp>
      </mc:Fallback>
    </mc:AlternateContent>
    <xdr:clientData/>
  </xdr:twoCellAnchor>
  <xdr:twoCellAnchor editAs="oneCell">
    <xdr:from>
      <xdr:col>10</xdr:col>
      <xdr:colOff>699795</xdr:colOff>
      <xdr:row>0</xdr:row>
      <xdr:rowOff>77755</xdr:rowOff>
    </xdr:from>
    <xdr:to>
      <xdr:col>11</xdr:col>
      <xdr:colOff>432658</xdr:colOff>
      <xdr:row>1</xdr:row>
      <xdr:rowOff>150641</xdr:rowOff>
    </xdr:to>
    <xdr:pic>
      <xdr:nvPicPr>
        <xdr:cNvPr id="6" name="Grafik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9136224" y="77755"/>
          <a:ext cx="1054699" cy="335309"/>
        </a:xfrm>
        <a:prstGeom prst="rect">
          <a:avLst/>
        </a:prstGeom>
      </xdr:spPr>
    </xdr:pic>
    <xdr:clientData/>
  </xdr:twoCellAnchor>
  <xdr:twoCellAnchor editAs="oneCell">
    <xdr:from>
      <xdr:col>10</xdr:col>
      <xdr:colOff>562066</xdr:colOff>
      <xdr:row>2</xdr:row>
      <xdr:rowOff>38878</xdr:rowOff>
    </xdr:from>
    <xdr:to>
      <xdr:col>11</xdr:col>
      <xdr:colOff>596430</xdr:colOff>
      <xdr:row>7</xdr:row>
      <xdr:rowOff>35215</xdr:rowOff>
    </xdr:to>
    <xdr:pic>
      <xdr:nvPicPr>
        <xdr:cNvPr id="8" name="Grafik 7">
          <a:extLst>
            <a:ext uri="{FF2B5EF4-FFF2-40B4-BE49-F238E27FC236}">
              <a16:creationId xmlns:a16="http://schemas.microsoft.com/office/drawing/2014/main" id="{1C9A0887-C51B-6A25-BBD7-3A6D93CBC3C1}"/>
            </a:ext>
          </a:extLst>
        </xdr:cNvPr>
        <xdr:cNvPicPr>
          <a:picLocks noChangeAspect="1"/>
        </xdr:cNvPicPr>
      </xdr:nvPicPr>
      <xdr:blipFill>
        <a:blip xmlns:r="http://schemas.openxmlformats.org/officeDocument/2006/relationships" r:embed="rId4"/>
        <a:stretch>
          <a:fillRect/>
        </a:stretch>
      </xdr:blipFill>
      <xdr:spPr>
        <a:xfrm>
          <a:off x="8998495" y="573444"/>
          <a:ext cx="1356200" cy="12598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0</xdr:colOff>
      <xdr:row>149</xdr:row>
      <xdr:rowOff>0</xdr:rowOff>
    </xdr:from>
    <xdr:ext cx="4261872" cy="841769"/>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524000" y="23622000"/>
              <a:ext cx="4261872" cy="8417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de-DE" sz="2400" i="1">
                            <a:latin typeface="Cambria Math" panose="02040503050406030204" pitchFamily="18" charset="0"/>
                          </a:rPr>
                        </m:ctrlPr>
                      </m:fPr>
                      <m:num>
                        <m:r>
                          <a:rPr lang="de-DE" sz="2400" i="1">
                            <a:latin typeface="Cambria Math" panose="02040503050406030204" pitchFamily="18" charset="0"/>
                          </a:rPr>
                          <m:t>1</m:t>
                        </m:r>
                      </m:num>
                      <m:den>
                        <m:rad>
                          <m:radPr>
                            <m:degHide m:val="on"/>
                            <m:ctrlPr>
                              <a:rPr lang="de-DE" sz="2400" i="1">
                                <a:latin typeface="Cambria Math" panose="02040503050406030204" pitchFamily="18" charset="0"/>
                              </a:rPr>
                            </m:ctrlPr>
                          </m:radPr>
                          <m:deg/>
                          <m:e>
                            <m:r>
                              <a:rPr lang="de-DE" sz="2400" i="1">
                                <a:latin typeface="Cambria Math" panose="02040503050406030204" pitchFamily="18" charset="0"/>
                              </a:rPr>
                              <m:t>𝜆</m:t>
                            </m:r>
                          </m:e>
                        </m:rad>
                      </m:den>
                    </m:f>
                    <m:r>
                      <a:rPr lang="de-DE" sz="2400" i="1">
                        <a:latin typeface="Cambria Math" panose="02040503050406030204" pitchFamily="18" charset="0"/>
                      </a:rPr>
                      <m:t>=−2</m:t>
                    </m:r>
                    <m:r>
                      <a:rPr lang="de-DE" sz="2400" i="1">
                        <a:latin typeface="Cambria Math" panose="02040503050406030204" pitchFamily="18" charset="0"/>
                      </a:rPr>
                      <m:t>𝑙𝑔</m:t>
                    </m:r>
                    <m:d>
                      <m:dPr>
                        <m:begChr m:val="["/>
                        <m:endChr m:val="]"/>
                        <m:ctrlPr>
                          <a:rPr lang="de-DE" sz="2400" i="1">
                            <a:latin typeface="Cambria Math" panose="02040503050406030204" pitchFamily="18" charset="0"/>
                          </a:rPr>
                        </m:ctrlPr>
                      </m:dPr>
                      <m:e>
                        <m:f>
                          <m:fPr>
                            <m:ctrlPr>
                              <a:rPr lang="de-DE" sz="2400" i="1">
                                <a:latin typeface="Cambria Math" panose="02040503050406030204" pitchFamily="18" charset="0"/>
                              </a:rPr>
                            </m:ctrlPr>
                          </m:fPr>
                          <m:num>
                            <m:r>
                              <a:rPr lang="de-DE" sz="2400" i="1">
                                <a:latin typeface="Cambria Math" panose="02040503050406030204" pitchFamily="18" charset="0"/>
                              </a:rPr>
                              <m:t>2,51</m:t>
                            </m:r>
                          </m:num>
                          <m:den>
                            <m:sSub>
                              <m:sSubPr>
                                <m:ctrlPr>
                                  <a:rPr lang="de-DE" sz="2400" i="1">
                                    <a:latin typeface="Cambria Math" panose="02040503050406030204" pitchFamily="18" charset="0"/>
                                  </a:rPr>
                                </m:ctrlPr>
                              </m:sSubPr>
                              <m:e>
                                <m:r>
                                  <a:rPr lang="de-DE" sz="2400" i="1">
                                    <a:latin typeface="Cambria Math" panose="02040503050406030204" pitchFamily="18" charset="0"/>
                                  </a:rPr>
                                  <m:t>𝑅</m:t>
                                </m:r>
                              </m:e>
                              <m:sub>
                                <m:r>
                                  <a:rPr lang="de-DE" sz="2400" i="1">
                                    <a:latin typeface="Cambria Math" panose="02040503050406030204" pitchFamily="18" charset="0"/>
                                  </a:rPr>
                                  <m:t>𝑒</m:t>
                                </m:r>
                              </m:sub>
                            </m:sSub>
                            <m:r>
                              <a:rPr lang="de-DE" sz="2400" i="1">
                                <a:latin typeface="Cambria Math" panose="02040503050406030204" pitchFamily="18" charset="0"/>
                              </a:rPr>
                              <m:t>⋅</m:t>
                            </m:r>
                            <m:rad>
                              <m:radPr>
                                <m:degHide m:val="on"/>
                                <m:ctrlPr>
                                  <a:rPr lang="de-DE" sz="2400" i="1">
                                    <a:latin typeface="Cambria Math" panose="02040503050406030204" pitchFamily="18" charset="0"/>
                                  </a:rPr>
                                </m:ctrlPr>
                              </m:radPr>
                              <m:deg/>
                              <m:e>
                                <m:r>
                                  <a:rPr lang="de-DE" sz="2400" i="1">
                                    <a:latin typeface="Cambria Math" panose="02040503050406030204" pitchFamily="18" charset="0"/>
                                  </a:rPr>
                                  <m:t>𝜆</m:t>
                                </m:r>
                              </m:e>
                            </m:rad>
                          </m:den>
                        </m:f>
                        <m:r>
                          <a:rPr lang="de-DE" sz="2400" i="1">
                            <a:latin typeface="Cambria Math" panose="02040503050406030204" pitchFamily="18" charset="0"/>
                          </a:rPr>
                          <m:t>+</m:t>
                        </m:r>
                        <m:f>
                          <m:fPr>
                            <m:ctrlPr>
                              <a:rPr lang="de-DE" sz="2400" i="1">
                                <a:latin typeface="Cambria Math" panose="02040503050406030204" pitchFamily="18" charset="0"/>
                              </a:rPr>
                            </m:ctrlPr>
                          </m:fPr>
                          <m:num>
                            <m:r>
                              <a:rPr lang="de-DE" sz="2400" i="1">
                                <a:latin typeface="Cambria Math" panose="02040503050406030204" pitchFamily="18" charset="0"/>
                              </a:rPr>
                              <m:t>𝑘</m:t>
                            </m:r>
                          </m:num>
                          <m:den>
                            <m:r>
                              <a:rPr lang="de-DE" sz="2400" i="1">
                                <a:latin typeface="Cambria Math" panose="02040503050406030204" pitchFamily="18" charset="0"/>
                              </a:rPr>
                              <m:t>𝑑</m:t>
                            </m:r>
                          </m:den>
                        </m:f>
                        <m:r>
                          <a:rPr lang="de-DE" sz="2400" i="1">
                            <a:latin typeface="Cambria Math" panose="02040503050406030204" pitchFamily="18" charset="0"/>
                          </a:rPr>
                          <m:t>⋅0,269</m:t>
                        </m:r>
                      </m:e>
                    </m:d>
                  </m:oMath>
                </m:oMathPara>
              </a14:m>
              <a:endParaRPr lang="de-DE" sz="2000"/>
            </a:p>
          </xdr:txBody>
        </xdr:sp>
      </mc:Choice>
      <mc:Fallback xmlns="">
        <xdr:sp macro="" textlink="">
          <xdr:nvSpPr>
            <xdr:cNvPr id="2" name="Textfeld 1"/>
            <xdr:cNvSpPr txBox="1"/>
          </xdr:nvSpPr>
          <xdr:spPr>
            <a:xfrm>
              <a:off x="1524000" y="23622000"/>
              <a:ext cx="4261872" cy="8417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de-DE" sz="2400" i="0">
                  <a:latin typeface="Cambria Math" panose="02040503050406030204" pitchFamily="18" charset="0"/>
                </a:rPr>
                <a:t>1/√𝜆=−2𝑙𝑔[2,51/(𝑅_𝑒⋅√𝜆)+𝑘/𝑑⋅0,269]</a:t>
              </a:r>
              <a:endParaRPr lang="de-DE" sz="2000"/>
            </a:p>
          </xdr:txBody>
        </xdr:sp>
      </mc:Fallback>
    </mc:AlternateContent>
    <xdr:clientData/>
  </xdr:oneCellAnchor>
  <xdr:oneCellAnchor>
    <xdr:from>
      <xdr:col>2</xdr:col>
      <xdr:colOff>0</xdr:colOff>
      <xdr:row>155</xdr:row>
      <xdr:rowOff>0</xdr:rowOff>
    </xdr:from>
    <xdr:ext cx="1895475" cy="933589"/>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1524000" y="24765000"/>
              <a:ext cx="1895475" cy="93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de-DE" sz="3200" i="1">
                        <a:latin typeface="Cambria Math" panose="02040503050406030204" pitchFamily="18" charset="0"/>
                      </a:rPr>
                      <m:t>𝑅</m:t>
                    </m:r>
                    <m:r>
                      <a:rPr lang="de-DE" sz="3200" i="1">
                        <a:latin typeface="Cambria Math" panose="02040503050406030204" pitchFamily="18" charset="0"/>
                      </a:rPr>
                      <m:t>ⅇ=</m:t>
                    </m:r>
                    <m:f>
                      <m:fPr>
                        <m:ctrlPr>
                          <a:rPr lang="de-DE" sz="3200" i="1">
                            <a:latin typeface="Cambria Math" panose="02040503050406030204" pitchFamily="18" charset="0"/>
                          </a:rPr>
                        </m:ctrlPr>
                      </m:fPr>
                      <m:num>
                        <m:r>
                          <a:rPr lang="de-DE" sz="3200" b="0" i="1">
                            <a:latin typeface="Cambria Math" panose="02040503050406030204" pitchFamily="18" charset="0"/>
                          </a:rPr>
                          <m:t>𝑣</m:t>
                        </m:r>
                        <m:r>
                          <a:rPr lang="de-DE" sz="3200" i="1">
                            <a:latin typeface="Cambria Math" panose="02040503050406030204" pitchFamily="18" charset="0"/>
                          </a:rPr>
                          <m:t>⋅</m:t>
                        </m:r>
                        <m:r>
                          <a:rPr lang="de-DE" sz="3200" b="0" i="1">
                            <a:latin typeface="Cambria Math" panose="02040503050406030204" pitchFamily="18" charset="0"/>
                          </a:rPr>
                          <m:t>𝑑</m:t>
                        </m:r>
                      </m:num>
                      <m:den>
                        <m:r>
                          <a:rPr lang="de-DE" sz="3200" i="1">
                            <a:latin typeface="Cambria Math" panose="02040503050406030204" pitchFamily="18" charset="0"/>
                            <a:ea typeface="Cambria Math" panose="02040503050406030204" pitchFamily="18" charset="0"/>
                          </a:rPr>
                          <m:t>𝜈</m:t>
                        </m:r>
                      </m:den>
                    </m:f>
                  </m:oMath>
                </m:oMathPara>
              </a14:m>
              <a:endParaRPr lang="de-DE" sz="3200"/>
            </a:p>
          </xdr:txBody>
        </xdr:sp>
      </mc:Choice>
      <mc:Fallback xmlns="">
        <xdr:sp macro="" textlink="">
          <xdr:nvSpPr>
            <xdr:cNvPr id="4" name="Textfeld 3"/>
            <xdr:cNvSpPr txBox="1"/>
          </xdr:nvSpPr>
          <xdr:spPr>
            <a:xfrm>
              <a:off x="1524000" y="24765000"/>
              <a:ext cx="1895475" cy="93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de-DE" sz="3200" i="0">
                  <a:latin typeface="Cambria Math" panose="02040503050406030204" pitchFamily="18" charset="0"/>
                </a:rPr>
                <a:t>𝑅ⅇ=(</a:t>
              </a:r>
              <a:r>
                <a:rPr lang="de-DE" sz="3200" b="0" i="0">
                  <a:latin typeface="Cambria Math" panose="02040503050406030204" pitchFamily="18" charset="0"/>
                </a:rPr>
                <a:t>𝑣</a:t>
              </a:r>
              <a:r>
                <a:rPr lang="de-DE" sz="3200" i="0">
                  <a:latin typeface="Cambria Math" panose="02040503050406030204" pitchFamily="18" charset="0"/>
                </a:rPr>
                <a:t>⋅</a:t>
              </a:r>
              <a:r>
                <a:rPr lang="de-DE" sz="3200" b="0" i="0">
                  <a:latin typeface="Cambria Math" panose="02040503050406030204" pitchFamily="18" charset="0"/>
                </a:rPr>
                <a:t>𝑑)/</a:t>
              </a:r>
              <a:r>
                <a:rPr lang="de-DE" sz="3200" i="0">
                  <a:latin typeface="Cambria Math" panose="02040503050406030204" pitchFamily="18" charset="0"/>
                  <a:ea typeface="Cambria Math" panose="02040503050406030204" pitchFamily="18" charset="0"/>
                </a:rPr>
                <a:t>𝜈</a:t>
              </a:r>
              <a:endParaRPr lang="de-DE" sz="3200"/>
            </a:p>
          </xdr:txBody>
        </xdr:sp>
      </mc:Fallback>
    </mc:AlternateContent>
    <xdr:clientData/>
  </xdr:oneCellAnchor>
  <xdr:twoCellAnchor editAs="oneCell">
    <xdr:from>
      <xdr:col>12</xdr:col>
      <xdr:colOff>47625</xdr:colOff>
      <xdr:row>123</xdr:row>
      <xdr:rowOff>9525</xdr:rowOff>
    </xdr:from>
    <xdr:to>
      <xdr:col>18</xdr:col>
      <xdr:colOff>656512</xdr:colOff>
      <xdr:row>140</xdr:row>
      <xdr:rowOff>76798</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3611225" y="18678525"/>
          <a:ext cx="5609512" cy="3305773"/>
        </a:xfrm>
        <a:prstGeom prst="rect">
          <a:avLst/>
        </a:prstGeom>
      </xdr:spPr>
    </xdr:pic>
    <xdr:clientData/>
  </xdr:twoCellAnchor>
  <xdr:twoCellAnchor editAs="oneCell">
    <xdr:from>
      <xdr:col>6</xdr:col>
      <xdr:colOff>47624</xdr:colOff>
      <xdr:row>142</xdr:row>
      <xdr:rowOff>44499</xdr:rowOff>
    </xdr:from>
    <xdr:to>
      <xdr:col>11</xdr:col>
      <xdr:colOff>475473</xdr:colOff>
      <xdr:row>153</xdr:row>
      <xdr:rowOff>9265</xdr:rowOff>
    </xdr:to>
    <xdr:pic>
      <xdr:nvPicPr>
        <xdr:cNvPr id="6" name="Grafik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stretch>
          <a:fillRect/>
        </a:stretch>
      </xdr:blipFill>
      <xdr:spPr>
        <a:xfrm>
          <a:off x="6162674" y="22332999"/>
          <a:ext cx="6161899" cy="2060266"/>
        </a:xfrm>
        <a:prstGeom prst="rect">
          <a:avLst/>
        </a:prstGeom>
      </xdr:spPr>
    </xdr:pic>
    <xdr:clientData/>
  </xdr:twoCellAnchor>
  <xdr:twoCellAnchor editAs="oneCell">
    <xdr:from>
      <xdr:col>5</xdr:col>
      <xdr:colOff>742950</xdr:colOff>
      <xdr:row>156</xdr:row>
      <xdr:rowOff>142875</xdr:rowOff>
    </xdr:from>
    <xdr:to>
      <xdr:col>11</xdr:col>
      <xdr:colOff>466372</xdr:colOff>
      <xdr:row>187</xdr:row>
      <xdr:rowOff>8758</xdr:rowOff>
    </xdr:to>
    <xdr:pic>
      <xdr:nvPicPr>
        <xdr:cNvPr id="7" name="Grafik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3"/>
        <a:stretch>
          <a:fillRect/>
        </a:stretch>
      </xdr:blipFill>
      <xdr:spPr>
        <a:xfrm>
          <a:off x="6096000" y="25098375"/>
          <a:ext cx="6219472" cy="5771383"/>
        </a:xfrm>
        <a:prstGeom prst="rect">
          <a:avLst/>
        </a:prstGeom>
      </xdr:spPr>
    </xdr:pic>
    <xdr:clientData/>
  </xdr:twoCellAnchor>
  <xdr:twoCellAnchor editAs="oneCell">
    <xdr:from>
      <xdr:col>14</xdr:col>
      <xdr:colOff>28575</xdr:colOff>
      <xdr:row>140</xdr:row>
      <xdr:rowOff>161925</xdr:rowOff>
    </xdr:from>
    <xdr:to>
      <xdr:col>18</xdr:col>
      <xdr:colOff>342456</xdr:colOff>
      <xdr:row>148</xdr:row>
      <xdr:rowOff>104592</xdr:rowOff>
    </xdr:to>
    <xdr:pic>
      <xdr:nvPicPr>
        <xdr:cNvPr id="5" name="Grafik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a:stretch>
          <a:fillRect/>
        </a:stretch>
      </xdr:blipFill>
      <xdr:spPr>
        <a:xfrm>
          <a:off x="14849475" y="22259925"/>
          <a:ext cx="3552381" cy="1466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16</xdr:col>
      <xdr:colOff>747183</xdr:colOff>
      <xdr:row>39</xdr:row>
      <xdr:rowOff>113241</xdr:rowOff>
    </xdr:from>
    <xdr:to>
      <xdr:col>17</xdr:col>
      <xdr:colOff>0</xdr:colOff>
      <xdr:row>45</xdr:row>
      <xdr:rowOff>28575</xdr:rowOff>
    </xdr:to>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12939183" y="4494741"/>
              <a:ext cx="14817" cy="10583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de-DE" sz="3200" i="1">
                        <a:latin typeface="Cambria Math" panose="02040503050406030204" pitchFamily="18" charset="0"/>
                      </a:rPr>
                      <m:t>𝑅</m:t>
                    </m:r>
                    <m:r>
                      <a:rPr lang="de-DE" sz="3200" i="1">
                        <a:latin typeface="Cambria Math" panose="02040503050406030204" pitchFamily="18" charset="0"/>
                      </a:rPr>
                      <m:t>ⅇ=</m:t>
                    </m:r>
                    <m:f>
                      <m:fPr>
                        <m:ctrlPr>
                          <a:rPr lang="de-DE" sz="3200" i="1">
                            <a:latin typeface="Cambria Math" panose="02040503050406030204" pitchFamily="18" charset="0"/>
                          </a:rPr>
                        </m:ctrlPr>
                      </m:fPr>
                      <m:num>
                        <m:r>
                          <a:rPr lang="de-DE" sz="3200" b="0" i="1">
                            <a:latin typeface="Cambria Math" panose="02040503050406030204" pitchFamily="18" charset="0"/>
                          </a:rPr>
                          <m:t>𝑣</m:t>
                        </m:r>
                        <m:r>
                          <a:rPr lang="de-DE" sz="3200" i="1">
                            <a:latin typeface="Cambria Math" panose="02040503050406030204" pitchFamily="18" charset="0"/>
                          </a:rPr>
                          <m:t>⋅</m:t>
                        </m:r>
                        <m:r>
                          <a:rPr lang="de-DE" sz="3200" b="0" i="1">
                            <a:latin typeface="Cambria Math" panose="02040503050406030204" pitchFamily="18" charset="0"/>
                          </a:rPr>
                          <m:t>𝑑</m:t>
                        </m:r>
                      </m:num>
                      <m:den>
                        <m:r>
                          <a:rPr lang="de-DE" sz="3200" i="1">
                            <a:latin typeface="Cambria Math" panose="02040503050406030204" pitchFamily="18" charset="0"/>
                            <a:ea typeface="Cambria Math" panose="02040503050406030204" pitchFamily="18" charset="0"/>
                          </a:rPr>
                          <m:t>𝜈</m:t>
                        </m:r>
                      </m:den>
                    </m:f>
                  </m:oMath>
                </m:oMathPara>
              </a14:m>
              <a:endParaRPr lang="de-DE" sz="3200"/>
            </a:p>
          </xdr:txBody>
        </xdr:sp>
      </mc:Choice>
      <mc:Fallback xmlns="">
        <xdr:sp macro="" textlink="">
          <xdr:nvSpPr>
            <xdr:cNvPr id="2" name="Textfeld 1"/>
            <xdr:cNvSpPr txBox="1"/>
          </xdr:nvSpPr>
          <xdr:spPr>
            <a:xfrm>
              <a:off x="12939183" y="4494741"/>
              <a:ext cx="14817" cy="10583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3200" i="0">
                  <a:latin typeface="Cambria Math" panose="02040503050406030204" pitchFamily="18" charset="0"/>
                </a:rPr>
                <a:t>𝑅ⅇ=(</a:t>
              </a:r>
              <a:r>
                <a:rPr lang="de-DE" sz="3200" b="0" i="0">
                  <a:latin typeface="Cambria Math" panose="02040503050406030204" pitchFamily="18" charset="0"/>
                </a:rPr>
                <a:t>𝑣</a:t>
              </a:r>
              <a:r>
                <a:rPr lang="de-DE" sz="3200" i="0">
                  <a:latin typeface="Cambria Math" panose="02040503050406030204" pitchFamily="18" charset="0"/>
                </a:rPr>
                <a:t>⋅</a:t>
              </a:r>
              <a:r>
                <a:rPr lang="de-DE" sz="3200" b="0" i="0">
                  <a:latin typeface="Cambria Math" panose="02040503050406030204" pitchFamily="18" charset="0"/>
                </a:rPr>
                <a:t>𝑑)/</a:t>
              </a:r>
              <a:r>
                <a:rPr lang="de-DE" sz="3200" i="0">
                  <a:latin typeface="Cambria Math" panose="02040503050406030204" pitchFamily="18" charset="0"/>
                  <a:ea typeface="Cambria Math" panose="02040503050406030204" pitchFamily="18" charset="0"/>
                </a:rPr>
                <a:t>𝜈</a:t>
              </a:r>
              <a:endParaRPr lang="de-DE" sz="3200"/>
            </a:p>
          </xdr:txBody>
        </xdr:sp>
      </mc:Fallback>
    </mc:AlternateContent>
    <xdr:clientData/>
  </xdr:twoCellAnchor>
  <xdr:twoCellAnchor>
    <xdr:from>
      <xdr:col>5</xdr:col>
      <xdr:colOff>9525</xdr:colOff>
      <xdr:row>80</xdr:row>
      <xdr:rowOff>0</xdr:rowOff>
    </xdr:from>
    <xdr:to>
      <xdr:col>14</xdr:col>
      <xdr:colOff>390525</xdr:colOff>
      <xdr:row>98</xdr:row>
      <xdr:rowOff>190499</xdr:rowOff>
    </xdr:to>
    <xdr:graphicFrame macro="">
      <xdr:nvGraphicFramePr>
        <xdr:cNvPr id="3" name="Diagramm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19051</xdr:colOff>
      <xdr:row>103</xdr:row>
      <xdr:rowOff>0</xdr:rowOff>
    </xdr:from>
    <xdr:to>
      <xdr:col>14</xdr:col>
      <xdr:colOff>361950</xdr:colOff>
      <xdr:row>122</xdr:row>
      <xdr:rowOff>9524</xdr:rowOff>
    </xdr:to>
    <xdr:graphicFrame macro="">
      <xdr:nvGraphicFramePr>
        <xdr:cNvPr id="4" name="Diagramm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58</xdr:row>
      <xdr:rowOff>0</xdr:rowOff>
    </xdr:from>
    <xdr:to>
      <xdr:col>14</xdr:col>
      <xdr:colOff>381000</xdr:colOff>
      <xdr:row>76</xdr:row>
      <xdr:rowOff>190499</xdr:rowOff>
    </xdr:to>
    <xdr:graphicFrame macro="">
      <xdr:nvGraphicFramePr>
        <xdr:cNvPr id="5" name="Diagramm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18</xdr:row>
      <xdr:rowOff>0</xdr:rowOff>
    </xdr:from>
    <xdr:to>
      <xdr:col>14</xdr:col>
      <xdr:colOff>381000</xdr:colOff>
      <xdr:row>36</xdr:row>
      <xdr:rowOff>190499</xdr:rowOff>
    </xdr:to>
    <xdr:graphicFrame macro="">
      <xdr:nvGraphicFramePr>
        <xdr:cNvPr id="6" name="Diagramm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39</xdr:row>
      <xdr:rowOff>0</xdr:rowOff>
    </xdr:from>
    <xdr:to>
      <xdr:col>14</xdr:col>
      <xdr:colOff>381000</xdr:colOff>
      <xdr:row>57</xdr:row>
      <xdr:rowOff>190499</xdr:rowOff>
    </xdr:to>
    <xdr:graphicFrame macro="">
      <xdr:nvGraphicFramePr>
        <xdr:cNvPr id="7" name="Diagramm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0</xdr:colOff>
      <xdr:row>127</xdr:row>
      <xdr:rowOff>0</xdr:rowOff>
    </xdr:from>
    <xdr:to>
      <xdr:col>14</xdr:col>
      <xdr:colOff>342899</xdr:colOff>
      <xdr:row>146</xdr:row>
      <xdr:rowOff>9524</xdr:rowOff>
    </xdr:to>
    <xdr:graphicFrame macro="">
      <xdr:nvGraphicFramePr>
        <xdr:cNvPr id="8" name="Diagramm 7">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0</xdr:colOff>
      <xdr:row>148</xdr:row>
      <xdr:rowOff>0</xdr:rowOff>
    </xdr:from>
    <xdr:to>
      <xdr:col>14</xdr:col>
      <xdr:colOff>342899</xdr:colOff>
      <xdr:row>167</xdr:row>
      <xdr:rowOff>9524</xdr:rowOff>
    </xdr:to>
    <xdr:graphicFrame macro="">
      <xdr:nvGraphicFramePr>
        <xdr:cNvPr id="9" name="Diagramm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0</xdr:colOff>
      <xdr:row>169</xdr:row>
      <xdr:rowOff>0</xdr:rowOff>
    </xdr:from>
    <xdr:to>
      <xdr:col>14</xdr:col>
      <xdr:colOff>342899</xdr:colOff>
      <xdr:row>188</xdr:row>
      <xdr:rowOff>9524</xdr:rowOff>
    </xdr:to>
    <xdr:graphicFrame macro="">
      <xdr:nvGraphicFramePr>
        <xdr:cNvPr id="10" name="Diagramm 9">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191</xdr:row>
      <xdr:rowOff>0</xdr:rowOff>
    </xdr:from>
    <xdr:to>
      <xdr:col>14</xdr:col>
      <xdr:colOff>342899</xdr:colOff>
      <xdr:row>210</xdr:row>
      <xdr:rowOff>9524</xdr:rowOff>
    </xdr:to>
    <xdr:graphicFrame macro="">
      <xdr:nvGraphicFramePr>
        <xdr:cNvPr id="11" name="Diagramm 10">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xdr:colOff>
      <xdr:row>212</xdr:row>
      <xdr:rowOff>190500</xdr:rowOff>
    </xdr:from>
    <xdr:to>
      <xdr:col>14</xdr:col>
      <xdr:colOff>349899</xdr:colOff>
      <xdr:row>233</xdr:row>
      <xdr:rowOff>1</xdr:rowOff>
    </xdr:to>
    <xdr:graphicFrame macro="">
      <xdr:nvGraphicFramePr>
        <xdr:cNvPr id="12" name="Diagramm 11">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0</xdr:colOff>
      <xdr:row>236</xdr:row>
      <xdr:rowOff>0</xdr:rowOff>
    </xdr:from>
    <xdr:to>
      <xdr:col>14</xdr:col>
      <xdr:colOff>342899</xdr:colOff>
      <xdr:row>255</xdr:row>
      <xdr:rowOff>9524</xdr:rowOff>
    </xdr:to>
    <xdr:graphicFrame macro="">
      <xdr:nvGraphicFramePr>
        <xdr:cNvPr id="13" name="Diagramm 12">
          <a:extLst>
            <a:ext uri="{FF2B5EF4-FFF2-40B4-BE49-F238E27FC236}">
              <a16:creationId xmlns:a16="http://schemas.microsoft.com/office/drawing/2014/main" id="{00000000-0008-0000-0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0</xdr:colOff>
      <xdr:row>257</xdr:row>
      <xdr:rowOff>0</xdr:rowOff>
    </xdr:from>
    <xdr:to>
      <xdr:col>14</xdr:col>
      <xdr:colOff>342899</xdr:colOff>
      <xdr:row>276</xdr:row>
      <xdr:rowOff>9524</xdr:rowOff>
    </xdr:to>
    <xdr:graphicFrame macro="">
      <xdr:nvGraphicFramePr>
        <xdr:cNvPr id="14" name="Diagramm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0</xdr:colOff>
      <xdr:row>279</xdr:row>
      <xdr:rowOff>0</xdr:rowOff>
    </xdr:from>
    <xdr:to>
      <xdr:col>14</xdr:col>
      <xdr:colOff>342899</xdr:colOff>
      <xdr:row>298</xdr:row>
      <xdr:rowOff>9524</xdr:rowOff>
    </xdr:to>
    <xdr:graphicFrame macro="">
      <xdr:nvGraphicFramePr>
        <xdr:cNvPr id="15" name="Diagramm 14">
          <a:extLst>
            <a:ext uri="{FF2B5EF4-FFF2-40B4-BE49-F238E27FC236}">
              <a16:creationId xmlns:a16="http://schemas.microsoft.com/office/drawing/2014/main" id="{00000000-0008-0000-0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761999</xdr:colOff>
      <xdr:row>5</xdr:row>
      <xdr:rowOff>189910</xdr:rowOff>
    </xdr:from>
    <xdr:to>
      <xdr:col>9</xdr:col>
      <xdr:colOff>381000</xdr:colOff>
      <xdr:row>24</xdr:row>
      <xdr:rowOff>174696</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523999" y="1142410"/>
          <a:ext cx="5715001" cy="40043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tibchr\Desktop\2023-04-17-Entw&#228;sserung-komp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cht"/>
      <sheetName val="Q_Schmutzwasser"/>
      <sheetName val="Q_Regenwasser"/>
      <sheetName val="H_Förderhöhe-Hebeanlagen"/>
      <sheetName val="Bilder"/>
      <sheetName val="Kennlinien-Fäkalienhebeanlage"/>
      <sheetName val="Prüfung-Zulauf-Hebeanlagen"/>
      <sheetName val="Schachtberechnung"/>
      <sheetName val="Daten-Druckv."/>
      <sheetName val="Cs+Cm"/>
      <sheetName val="Daten_Hebeanlagen"/>
      <sheetName val="Schmutzwasser-Q"/>
      <sheetName val="Regenwasser-Q"/>
      <sheetName val="Städte"/>
      <sheetName val="Tabelle1"/>
      <sheetName val="2023-04-17-Entwässerung-kompl"/>
    </sheetNames>
    <sheetDataSet>
      <sheetData sheetId="0"/>
      <sheetData sheetId="1"/>
      <sheetData sheetId="2"/>
      <sheetData sheetId="3">
        <row r="70">
          <cell r="I70" t="str">
            <v>U1</v>
          </cell>
        </row>
      </sheetData>
      <sheetData sheetId="4"/>
      <sheetData sheetId="5">
        <row r="4">
          <cell r="A4">
            <v>0</v>
          </cell>
        </row>
      </sheetData>
      <sheetData sheetId="6"/>
      <sheetData sheetId="7"/>
      <sheetData sheetId="8">
        <row r="9">
          <cell r="G9" t="str">
            <v>DN10</v>
          </cell>
        </row>
      </sheetData>
      <sheetData sheetId="9"/>
      <sheetData sheetId="10">
        <row r="9">
          <cell r="D9" t="str">
            <v>US1</v>
          </cell>
        </row>
      </sheetData>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elle7" displayName="Tabelle7" ref="L154:L156" totalsRowShown="0" headerRowDxfId="146" dataDxfId="145">
  <autoFilter ref="L154:L156" xr:uid="{00000000-0009-0000-0100-000006000000}"/>
  <tableColumns count="1">
    <tableColumn id="1" xr3:uid="{00000000-0010-0000-0000-000001000000}" name="Pumpenanzahl" dataDxfId="144"/>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9000000}" name="Tabelle19" displayName="Tabelle19" ref="A105:E112" totalsRowShown="0" headerRowDxfId="84" dataDxfId="83">
  <autoFilter ref="A105:E112" xr:uid="{00000000-0009-0000-0100-000013000000}"/>
  <tableColumns count="5">
    <tableColumn id="1" xr3:uid="{00000000-0010-0000-0900-000001000000}" name="Q" dataDxfId="82"/>
    <tableColumn id="2" xr3:uid="{00000000-0010-0000-0900-000002000000}" name="H" dataDxfId="81"/>
    <tableColumn id="3" xr3:uid="{00000000-0010-0000-0900-000003000000}" name="Q2" dataDxfId="80">
      <calculatedColumnFormula>2*A106</calculatedColumnFormula>
    </tableColumn>
    <tableColumn id="4" xr3:uid="{00000000-0010-0000-0900-000004000000}" name="H3" dataDxfId="79">
      <calculatedColumnFormula>B106</calculatedColumnFormula>
    </tableColumn>
    <tableColumn id="5" xr3:uid="{00000000-0010-0000-0900-000005000000}" name="P" dataDxfId="78"/>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A000000}" name="Tabelle21" displayName="Tabelle21" ref="A128:E136" totalsRowShown="0" headerRowDxfId="77" dataDxfId="76">
  <autoFilter ref="A128:E136" xr:uid="{00000000-0009-0000-0100-000015000000}"/>
  <tableColumns count="5">
    <tableColumn id="1" xr3:uid="{00000000-0010-0000-0A00-000001000000}" name="Q" dataDxfId="75"/>
    <tableColumn id="2" xr3:uid="{00000000-0010-0000-0A00-000002000000}" name="H" dataDxfId="74"/>
    <tableColumn id="3" xr3:uid="{00000000-0010-0000-0A00-000003000000}" name="Q2" dataDxfId="73">
      <calculatedColumnFormula>2*A129</calculatedColumnFormula>
    </tableColumn>
    <tableColumn id="4" xr3:uid="{00000000-0010-0000-0A00-000004000000}" name="H3" dataDxfId="72">
      <calculatedColumnFormula>B129</calculatedColumnFormula>
    </tableColumn>
    <tableColumn id="5" xr3:uid="{00000000-0010-0000-0A00-000005000000}" name="P" dataDxfId="71"/>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B000000}" name="Tabelle22" displayName="Tabelle22" ref="A149:E158" totalsRowShown="0" headerRowDxfId="70" dataDxfId="69">
  <autoFilter ref="A149:E158" xr:uid="{00000000-0009-0000-0100-000016000000}"/>
  <tableColumns count="5">
    <tableColumn id="1" xr3:uid="{00000000-0010-0000-0B00-000001000000}" name="Q" dataDxfId="68"/>
    <tableColumn id="2" xr3:uid="{00000000-0010-0000-0B00-000002000000}" name="H" dataDxfId="67"/>
    <tableColumn id="3" xr3:uid="{00000000-0010-0000-0B00-000003000000}" name="Q2" dataDxfId="66">
      <calculatedColumnFormula>2*A150</calculatedColumnFormula>
    </tableColumn>
    <tableColumn id="4" xr3:uid="{00000000-0010-0000-0B00-000004000000}" name="H3" dataDxfId="65">
      <calculatedColumnFormula>B150</calculatedColumnFormula>
    </tableColumn>
    <tableColumn id="5" xr3:uid="{00000000-0010-0000-0B00-000005000000}" name="P" dataDxfId="64"/>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C000000}" name="Tabelle23" displayName="Tabelle23" ref="A170:C180" totalsRowShown="0" headerRowDxfId="63" dataDxfId="62">
  <autoFilter ref="A170:C180" xr:uid="{00000000-0009-0000-0100-000017000000}"/>
  <tableColumns count="3">
    <tableColumn id="1" xr3:uid="{00000000-0010-0000-0C00-000001000000}" name="Q" dataDxfId="61"/>
    <tableColumn id="2" xr3:uid="{00000000-0010-0000-0C00-000002000000}" name="H" dataDxfId="60"/>
    <tableColumn id="3" xr3:uid="{00000000-0010-0000-0C00-000003000000}" name="P" dataDxfId="59"/>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D000000}" name="Tabelle24" displayName="Tabelle24" ref="A192:C202" totalsRowShown="0" headerRowDxfId="58" dataDxfId="57">
  <autoFilter ref="A192:C202" xr:uid="{00000000-0009-0000-0100-000018000000}"/>
  <tableColumns count="3">
    <tableColumn id="1" xr3:uid="{00000000-0010-0000-0D00-000001000000}" name="Q" dataDxfId="56"/>
    <tableColumn id="2" xr3:uid="{00000000-0010-0000-0D00-000002000000}" name="H" dataDxfId="55"/>
    <tableColumn id="3" xr3:uid="{00000000-0010-0000-0D00-000003000000}" name="P" dataDxfId="54"/>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E000000}" name="Tabelle25" displayName="Tabelle25" ref="A214:C221" totalsRowShown="0" headerRowDxfId="53" dataDxfId="52">
  <autoFilter ref="A214:C221" xr:uid="{00000000-0009-0000-0100-000019000000}"/>
  <tableColumns count="3">
    <tableColumn id="1" xr3:uid="{00000000-0010-0000-0E00-000001000000}" name="Q" dataDxfId="51"/>
    <tableColumn id="2" xr3:uid="{00000000-0010-0000-0E00-000002000000}" name="H" dataDxfId="50"/>
    <tableColumn id="3" xr3:uid="{00000000-0010-0000-0E00-000003000000}" name="P" dataDxfId="49"/>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F000000}" name="Tabelle26" displayName="Tabelle26" ref="A237:C244" totalsRowShown="0" headerRowDxfId="48" dataDxfId="47">
  <autoFilter ref="A237:C244" xr:uid="{00000000-0009-0000-0100-00001A000000}"/>
  <tableColumns count="3">
    <tableColumn id="1" xr3:uid="{00000000-0010-0000-0F00-000001000000}" name="Q" dataDxfId="46"/>
    <tableColumn id="2" xr3:uid="{00000000-0010-0000-0F00-000002000000}" name="H" dataDxfId="45"/>
    <tableColumn id="3" xr3:uid="{00000000-0010-0000-0F00-000003000000}" name="P" dataDxfId="44"/>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0000000}" name="Tabelle27" displayName="Tabelle27" ref="A258:C265" totalsRowShown="0" headerRowDxfId="43" dataDxfId="42">
  <autoFilter ref="A258:C265" xr:uid="{00000000-0009-0000-0100-00001B000000}"/>
  <tableColumns count="3">
    <tableColumn id="1" xr3:uid="{00000000-0010-0000-1000-000001000000}" name="Q" dataDxfId="41"/>
    <tableColumn id="2" xr3:uid="{00000000-0010-0000-1000-000002000000}" name="H" dataDxfId="40"/>
    <tableColumn id="3" xr3:uid="{00000000-0010-0000-1000-000003000000}" name="P" dataDxfId="39"/>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1000000}" name="Tabelle28" displayName="Tabelle28" ref="A280:C285" totalsRowShown="0" headerRowDxfId="38" dataDxfId="37">
  <autoFilter ref="A280:C285" xr:uid="{00000000-0009-0000-0100-00001C000000}"/>
  <tableColumns count="3">
    <tableColumn id="1" xr3:uid="{00000000-0010-0000-1100-000001000000}" name="Q" dataDxfId="36"/>
    <tableColumn id="2" xr3:uid="{00000000-0010-0000-1100-000002000000}" name="H" dataDxfId="35"/>
    <tableColumn id="3" xr3:uid="{00000000-0010-0000-1100-000003000000}" name="P" dataDxfId="34"/>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2000000}" name="Tabelle6" displayName="Tabelle6" ref="A2:A15" totalsRowShown="0" headerRowDxfId="33" dataDxfId="32">
  <autoFilter ref="A2:A15" xr:uid="{00000000-0009-0000-0100-000004000000}"/>
  <tableColumns count="1">
    <tableColumn id="1" xr3:uid="{00000000-0010-0000-1200-000001000000}" name="Spalte1" dataDxfId="31"/>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le1" displayName="Tabelle1" ref="C2:Q102" totalsRowShown="0" headerRowDxfId="143" dataDxfId="142">
  <autoFilter ref="C2:Q102" xr:uid="{00000000-0009-0000-0100-000001000000}"/>
  <tableColumns count="15">
    <tableColumn id="1" xr3:uid="{00000000-0010-0000-0100-000001000000}" name="Spalte1" dataDxfId="141"/>
    <tableColumn id="2" xr3:uid="{00000000-0010-0000-0100-000002000000}" name="Nennweite _x000a_[mm]" dataDxfId="140"/>
    <tableColumn id="3" xr3:uid="{00000000-0010-0000-0100-000003000000}" name="Rohrwerkstoff" dataDxfId="139"/>
    <tableColumn id="4" xr3:uid="{00000000-0010-0000-0100-000004000000}" name="Außen-Durchmesser_x000a_[mm]" dataDxfId="138"/>
    <tableColumn id="5" xr3:uid="{00000000-0010-0000-0100-000005000000}" name="Wanddicke [mm]  " dataDxfId="137"/>
    <tableColumn id="6" xr3:uid="{00000000-0010-0000-0100-000006000000}" name="Innen-Durchmesser [mm]" dataDxfId="136">
      <calculatedColumnFormula>F3-(2*G3)</calculatedColumnFormula>
    </tableColumn>
    <tableColumn id="7" xr3:uid="{00000000-0010-0000-0100-000007000000}" name="Wasserinhalt  I_x000a_[I/m]" dataDxfId="135">
      <calculatedColumnFormula>0.785*((H3/1000)^2)*1000</calculatedColumnFormula>
    </tableColumn>
    <tableColumn id="8" xr3:uid="{00000000-0010-0000-0100-000008000000}" name="Rohrrauheit-Koeffizient k" dataDxfId="134"/>
    <tableColumn id="9" xr3:uid="{00000000-0010-0000-0100-000009000000}" name="k/d Abwasser" dataDxfId="133">
      <calculatedColumnFormula>M3/H3</calculatedColumnFormula>
    </tableColumn>
    <tableColumn id="10" xr3:uid="{00000000-0010-0000-0100-00000A000000}" name="Querschnitt [m2]" dataDxfId="132">
      <calculatedColumnFormula>(0.785*((H3/1000)^2))</calculatedColumnFormula>
    </tableColumn>
    <tableColumn id="11" xr3:uid="{00000000-0010-0000-0100-00000B000000}" name="kb bei Abwasser 0,25" dataDxfId="131"/>
    <tableColumn id="12" xr3:uid="{00000000-0010-0000-0100-00000C000000}" name="k/d " dataDxfId="130">
      <calculatedColumnFormula>Tabelle1[[#This Row],[Rohrrauheit-Koeffizient k]]/Tabelle1[[#This Row],[Innen-Durchmesser '[mm']]]</calculatedColumnFormula>
    </tableColumn>
    <tableColumn id="14" xr3:uid="{00000000-0010-0000-0100-00000E000000}" name="Höhe Bogen 3*D [mm]" dataDxfId="129">
      <calculatedColumnFormula>(Tabelle1[[#This Row],[Wanddicke '[mm']  ]]+Tabelle1[[#This Row],[Innen-Durchmesser '[mm']]])*2</calculatedColumnFormula>
    </tableColumn>
    <tableColumn id="13" xr3:uid="{00000000-0010-0000-0100-00000D000000}" name="Baulänge Armaturen Schieber&amp;Rück-schlagklappe [mm]" dataDxfId="128">
      <calculatedColumnFormula>'7'!P8</calculatedColumnFormula>
    </tableColumn>
    <tableColumn id="15" xr3:uid="{00000000-0010-0000-0100-00000F000000}" name="Summe aus Bogen und Armaturen [mm]" dataDxfId="127">
      <calculatedColumnFormula>Tabelle1[[#This Row],[Baulänge Armaturen Schieber&amp;Rück-schlagklappe '[mm']]]+Tabelle1[[#This Row],[Höhe Bogen 3*D '[mm']]]</calculatedColumnFormula>
    </tableColumn>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3000000}" name="Tabelle11" displayName="Tabelle11" ref="M7:P21" totalsRowShown="0" headerRowBorderDxfId="30" tableBorderDxfId="29" totalsRowBorderDxfId="28">
  <autoFilter ref="M7:P21" xr:uid="{00000000-0009-0000-0100-00000B000000}"/>
  <tableColumns count="4">
    <tableColumn id="1" xr3:uid="{00000000-0010-0000-1300-000001000000}" name="DN" dataDxfId="27"/>
    <tableColumn id="2" xr3:uid="{00000000-0010-0000-1300-000002000000}" name="DIN EN558 Reihe1 Schieber" dataDxfId="26"/>
    <tableColumn id="3" xr3:uid="{00000000-0010-0000-1300-000003000000}" name="DIN EN558 Reihe1  Rückschlagklappe" dataDxfId="25"/>
    <tableColumn id="4" xr3:uid="{00000000-0010-0000-1300-000004000000}" name="Gesamtlänge" dataDxfId="24">
      <calculatedColumnFormula>Tabelle11[[#This Row],[DIN EN558 Reihe1 Schieber]]+Tabelle11[[#This Row],[DIN EN558 Reihe1  Rückschlagklappe]]</calculatedColumnFormula>
    </tableColumn>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4000000}" name="Tabelle20" displayName="Tabelle20" ref="M37:M41" totalsRowShown="0" headerRowDxfId="23">
  <autoFilter ref="M37:M41" xr:uid="{00000000-0009-0000-0100-000014000000}"/>
  <tableColumns count="1">
    <tableColumn id="1" xr3:uid="{00000000-0010-0000-1400-000001000000}" name="Spalte1" dataDxfId="22"/>
  </tableColumns>
  <tableStyleInfo name="TableStyleLight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5000000}" name="Tabelle30" displayName="Tabelle30" ref="D8:H28" totalsRowShown="0" headerRowDxfId="21" dataDxfId="19" headerRowBorderDxfId="20" tableBorderDxfId="18" totalsRowBorderDxfId="17">
  <autoFilter ref="D8:H28" xr:uid="{00000000-0009-0000-0100-00001E000000}"/>
  <tableColumns count="5">
    <tableColumn id="1" xr3:uid="{00000000-0010-0000-1500-000001000000}" name="Spalte1" dataDxfId="16"/>
    <tableColumn id="2" xr3:uid="{00000000-0010-0000-1500-000002000000}" name="Spalte2" dataDxfId="15"/>
    <tableColumn id="3" xr3:uid="{00000000-0010-0000-1500-000003000000}" name="Spalte3" dataDxfId="14"/>
    <tableColumn id="4" xr3:uid="{00000000-0010-0000-1500-000004000000}" name="Spalte4" dataDxfId="13"/>
    <tableColumn id="5" xr3:uid="{00000000-0010-0000-1500-000005000000}" name="Spalte5" dataDxfId="12"/>
  </tableColumns>
  <tableStyleInfo name="TableStyleLight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6000000}" name="Tabelle3" displayName="Tabelle3" ref="D5:G136" totalsRowShown="0" headerRowDxfId="11" headerRowBorderDxfId="10" tableBorderDxfId="9" totalsRowBorderDxfId="8">
  <autoFilter ref="D5:G136" xr:uid="{00000000-0009-0000-0100-000003000000}"/>
  <tableColumns count="4">
    <tableColumn id="1" xr3:uid="{00000000-0010-0000-1600-000001000000}" name="t[°C]" dataDxfId="7"/>
    <tableColumn id="2" xr3:uid="{00000000-0010-0000-1600-000002000000}" name="kg/m3" dataDxfId="6"/>
    <tableColumn id="3" xr3:uid="{00000000-0010-0000-1600-000003000000}" name="m2/s" dataDxfId="5">
      <calculatedColumnFormula>G6*10^-6</calculatedColumnFormula>
    </tableColumn>
    <tableColumn id="4" xr3:uid="{00000000-0010-0000-1600-000004000000}" name="mm2/s" dataDxfId="4"/>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7000000}" name="Tabelle12" displayName="Tabelle12" ref="C3:D8" totalsRowShown="0" headerRowDxfId="3">
  <autoFilter ref="C3:D8" xr:uid="{00000000-0009-0000-0100-00000C000000}"/>
  <tableColumns count="2">
    <tableColumn id="1" xr3:uid="{00000000-0010-0000-1700-000001000000}" name="Gebädeart und Nutzung" dataDxfId="2"/>
    <tableColumn id="2" xr3:uid="{00000000-0010-0000-1700-000002000000}" name="K" dataDxfId="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le5" displayName="Tabelle5" ref="C123:C130" totalsRowShown="0" headerRowDxfId="126" dataDxfId="125">
  <autoFilter ref="C123:C130" xr:uid="{00000000-0009-0000-0100-000005000000}"/>
  <tableColumns count="1">
    <tableColumn id="1" xr3:uid="{00000000-0010-0000-0200-000001000000}" name="Spalte1" dataDxfId="12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elle48" displayName="Tabelle48" ref="C133:C147" totalsRowShown="0" headerRowDxfId="123" dataDxfId="122">
  <autoFilter ref="C133:C147" xr:uid="{00000000-0009-0000-0100-000007000000}"/>
  <tableColumns count="1">
    <tableColumn id="1" xr3:uid="{00000000-0010-0000-0300-000001000000}" name="Spalte1" dataDxfId="12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le4" displayName="Tabelle4" ref="C8:M48" totalsRowShown="0" headerRowDxfId="120" dataDxfId="119">
  <autoFilter ref="C8:M48" xr:uid="{00000000-0009-0000-0100-000002000000}"/>
  <tableColumns count="11">
    <tableColumn id="1" xr3:uid="{00000000-0010-0000-0400-000001000000}" name="Spalte1" dataDxfId="118"/>
    <tableColumn id="2" xr3:uid="{00000000-0010-0000-0400-000002000000}" name="Spalte2"/>
    <tableColumn id="3" xr3:uid="{00000000-0010-0000-0400-000003000000}" name="Spalte3" dataDxfId="117"/>
    <tableColumn id="4" xr3:uid="{00000000-0010-0000-0400-000004000000}" name="Spalte4" dataDxfId="116"/>
    <tableColumn id="5" xr3:uid="{00000000-0010-0000-0400-000005000000}" name="Spalte5"/>
    <tableColumn id="6" xr3:uid="{00000000-0010-0000-0400-000006000000}" name="Spalte6"/>
    <tableColumn id="7" xr3:uid="{00000000-0010-0000-0400-000007000000}" name="Spalte7"/>
    <tableColumn id="8" xr3:uid="{00000000-0010-0000-0400-000008000000}" name="Spalte8" dataDxfId="115"/>
    <tableColumn id="9" xr3:uid="{00000000-0010-0000-0400-000009000000}" name="Spalte9"/>
    <tableColumn id="10" xr3:uid="{00000000-0010-0000-0400-00000A000000}" name="Spalte10" dataDxfId="114"/>
    <tableColumn id="11" xr3:uid="{00000000-0010-0000-0400-00000B000000}" name="Spalte11" dataDxfId="11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elle15" displayName="Tabelle15" ref="A19:E26" totalsRowShown="0" headerRowDxfId="112" dataDxfId="111">
  <autoFilter ref="A19:E26" xr:uid="{00000000-0009-0000-0100-00000F000000}"/>
  <tableColumns count="5">
    <tableColumn id="1" xr3:uid="{00000000-0010-0000-0500-000001000000}" name="Q" dataDxfId="110"/>
    <tableColumn id="2" xr3:uid="{00000000-0010-0000-0500-000002000000}" name="H" dataDxfId="109"/>
    <tableColumn id="3" xr3:uid="{00000000-0010-0000-0500-000003000000}" name="Q2" dataDxfId="108">
      <calculatedColumnFormula>2*A20</calculatedColumnFormula>
    </tableColumn>
    <tableColumn id="4" xr3:uid="{00000000-0010-0000-0500-000004000000}" name="H3" dataDxfId="107">
      <calculatedColumnFormula>B20</calculatedColumnFormula>
    </tableColumn>
    <tableColumn id="5" xr3:uid="{00000000-0010-0000-0500-000005000000}" name="P" dataDxfId="106"/>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6000000}" name="Tabelle16" displayName="Tabelle16" ref="A40:E47" totalsRowShown="0" headerRowDxfId="105" dataDxfId="104">
  <autoFilter ref="A40:E47" xr:uid="{00000000-0009-0000-0100-000010000000}"/>
  <tableColumns count="5">
    <tableColumn id="1" xr3:uid="{00000000-0010-0000-0600-000001000000}" name="Q" dataDxfId="103"/>
    <tableColumn id="2" xr3:uid="{00000000-0010-0000-0600-000002000000}" name="H" dataDxfId="102"/>
    <tableColumn id="3" xr3:uid="{00000000-0010-0000-0600-000003000000}" name="Q2" dataDxfId="101">
      <calculatedColumnFormula>2*A41</calculatedColumnFormula>
    </tableColumn>
    <tableColumn id="4" xr3:uid="{00000000-0010-0000-0600-000004000000}" name="H3" dataDxfId="100">
      <calculatedColumnFormula>B41</calculatedColumnFormula>
    </tableColumn>
    <tableColumn id="5" xr3:uid="{00000000-0010-0000-0600-000005000000}" name="P" dataDxfId="99"/>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7000000}" name="Tabelle17" displayName="Tabelle17" ref="A60:E71" totalsRowShown="0" headerRowDxfId="98" dataDxfId="97">
  <autoFilter ref="A60:E71" xr:uid="{00000000-0009-0000-0100-000011000000}"/>
  <tableColumns count="5">
    <tableColumn id="1" xr3:uid="{00000000-0010-0000-0700-000001000000}" name="Q" dataDxfId="96"/>
    <tableColumn id="2" xr3:uid="{00000000-0010-0000-0700-000002000000}" name="H" dataDxfId="95"/>
    <tableColumn id="3" xr3:uid="{00000000-0010-0000-0700-000003000000}" name="Q2" dataDxfId="94">
      <calculatedColumnFormula>2*A61</calculatedColumnFormula>
    </tableColumn>
    <tableColumn id="4" xr3:uid="{00000000-0010-0000-0700-000004000000}" name="H3" dataDxfId="93">
      <calculatedColumnFormula>B61</calculatedColumnFormula>
    </tableColumn>
    <tableColumn id="5" xr3:uid="{00000000-0010-0000-0700-000005000000}" name="P" dataDxfId="92"/>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8000000}" name="Tabelle18" displayName="Tabelle18" ref="A82:E95" totalsRowShown="0" headerRowDxfId="91" dataDxfId="90">
  <autoFilter ref="A82:E95" xr:uid="{00000000-0009-0000-0100-000012000000}"/>
  <tableColumns count="5">
    <tableColumn id="1" xr3:uid="{00000000-0010-0000-0800-000001000000}" name="Q" dataDxfId="89"/>
    <tableColumn id="2" xr3:uid="{00000000-0010-0000-0800-000002000000}" name="H" dataDxfId="88"/>
    <tableColumn id="3" xr3:uid="{00000000-0010-0000-0800-000003000000}" name="Q2" dataDxfId="87">
      <calculatedColumnFormula>2*A83</calculatedColumnFormula>
    </tableColumn>
    <tableColumn id="4" xr3:uid="{00000000-0010-0000-0800-000004000000}" name="H3" dataDxfId="86">
      <calculatedColumnFormula>B83</calculatedColumnFormula>
    </tableColumn>
    <tableColumn id="5" xr3:uid="{00000000-0010-0000-0800-000005000000}" name="P" dataDxfId="85"/>
  </tableColumns>
  <tableStyleInfo name="TableStyleLight8"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5.xml"/><Relationship Id="rId16" Type="http://schemas.openxmlformats.org/officeDocument/2006/relationships/table" Target="../tables/table19.xml"/><Relationship Id="rId1" Type="http://schemas.openxmlformats.org/officeDocument/2006/relationships/printerSettings" Target="../printerSettings/printerSettings5.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5" Type="http://schemas.openxmlformats.org/officeDocument/2006/relationships/table" Target="../tables/table1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4:L8"/>
  <sheetViews>
    <sheetView showGridLines="0" showRowColHeaders="0" tabSelected="1" zoomScaleNormal="100" workbookViewId="0">
      <selection activeCell="K3" sqref="K3"/>
    </sheetView>
  </sheetViews>
  <sheetFormatPr baseColWidth="10" defaultRowHeight="15" x14ac:dyDescent="0.25"/>
  <cols>
    <col min="4" max="4" width="13.28515625" customWidth="1"/>
  </cols>
  <sheetData>
    <row r="4" spans="4:12" ht="26.25" x14ac:dyDescent="0.4">
      <c r="D4" s="164" t="s">
        <v>372</v>
      </c>
    </row>
    <row r="6" spans="4:12" ht="19.5" thickBot="1" x14ac:dyDescent="0.3">
      <c r="D6" s="5" t="s">
        <v>368</v>
      </c>
      <c r="E6" s="207" t="s">
        <v>369</v>
      </c>
      <c r="F6" s="207"/>
      <c r="G6" s="207"/>
      <c r="H6" s="207"/>
      <c r="I6" s="207"/>
      <c r="J6" s="207"/>
      <c r="K6" s="207"/>
    </row>
    <row r="7" spans="4:12" ht="45.75" customHeight="1" x14ac:dyDescent="0.25">
      <c r="D7" s="165">
        <v>1</v>
      </c>
      <c r="E7" s="208" t="s">
        <v>370</v>
      </c>
      <c r="F7" s="209"/>
      <c r="G7" s="209"/>
      <c r="H7" s="209"/>
      <c r="I7" s="209"/>
      <c r="J7" s="209"/>
      <c r="K7" s="210"/>
      <c r="L7" s="167"/>
    </row>
    <row r="8" spans="4:12" ht="53.25" customHeight="1" thickBot="1" x14ac:dyDescent="0.3">
      <c r="D8" s="166">
        <v>2</v>
      </c>
      <c r="E8" s="211" t="s">
        <v>371</v>
      </c>
      <c r="F8" s="212"/>
      <c r="G8" s="212"/>
      <c r="H8" s="212"/>
      <c r="I8" s="212"/>
      <c r="J8" s="212"/>
      <c r="K8" s="213"/>
      <c r="L8" s="167"/>
    </row>
  </sheetData>
  <sheetProtection algorithmName="SHA-512" hashValue="GjXhISQ4gLhE/A3ssXFFR9VtZ5+dz5Aa0rULumQbcUBu0Ay+82LsU9CJXz1ZFRQNbw/dkHNUfc9F5T1GPczs1g==" saltValue="Z8VzZHce7pH8xLZcg6EGeA==" spinCount="100000" sheet="1" objects="1" scenarios="1"/>
  <mergeCells count="3">
    <mergeCell ref="E6:K6"/>
    <mergeCell ref="E7:K7"/>
    <mergeCell ref="E8:K8"/>
  </mergeCells>
  <pageMargins left="0.7" right="0.7" top="0.78740157499999996" bottom="0.78740157499999996" header="0.3" footer="0.3"/>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3:G14"/>
  <sheetViews>
    <sheetView showGridLines="0" showRowColHeaders="0" workbookViewId="0">
      <selection activeCell="F114" sqref="F114"/>
    </sheetView>
  </sheetViews>
  <sheetFormatPr baseColWidth="10" defaultColWidth="11.42578125" defaultRowHeight="15" x14ac:dyDescent="0.25"/>
  <cols>
    <col min="3" max="3" width="80" customWidth="1"/>
  </cols>
  <sheetData>
    <row r="3" spans="3:7" x14ac:dyDescent="0.25">
      <c r="C3" t="s">
        <v>110</v>
      </c>
      <c r="D3" t="s">
        <v>69</v>
      </c>
    </row>
    <row r="4" spans="3:7" x14ac:dyDescent="0.25">
      <c r="C4" s="7" t="s">
        <v>107</v>
      </c>
      <c r="D4" s="9">
        <v>0.5</v>
      </c>
      <c r="E4" s="7"/>
      <c r="F4" s="7"/>
      <c r="G4" s="7"/>
    </row>
    <row r="5" spans="3:7" x14ac:dyDescent="0.25">
      <c r="C5" s="7" t="s">
        <v>70</v>
      </c>
      <c r="D5" s="9">
        <v>0.7</v>
      </c>
      <c r="E5" s="7"/>
      <c r="F5" s="7"/>
      <c r="G5" s="7"/>
    </row>
    <row r="6" spans="3:7" x14ac:dyDescent="0.25">
      <c r="C6" s="7" t="s">
        <v>108</v>
      </c>
      <c r="D6" s="9">
        <v>1</v>
      </c>
      <c r="E6" s="7"/>
      <c r="F6" s="7"/>
      <c r="G6" s="7"/>
    </row>
    <row r="7" spans="3:7" x14ac:dyDescent="0.25">
      <c r="C7" s="7" t="s">
        <v>109</v>
      </c>
      <c r="D7" s="9">
        <v>1.2</v>
      </c>
    </row>
    <row r="8" spans="3:7" x14ac:dyDescent="0.25">
      <c r="C8" s="65"/>
      <c r="D8" s="9"/>
    </row>
    <row r="11" spans="3:7" x14ac:dyDescent="0.25">
      <c r="C11" s="7"/>
    </row>
    <row r="12" spans="3:7" x14ac:dyDescent="0.25">
      <c r="C12" s="7"/>
    </row>
    <row r="13" spans="3:7" x14ac:dyDescent="0.25">
      <c r="C13" s="7"/>
    </row>
    <row r="14" spans="3:7" x14ac:dyDescent="0.25">
      <c r="C14" s="7"/>
    </row>
  </sheetData>
  <sheetProtection algorithmName="SHA-512" hashValue="euJh+Z/7WCetSH/p9px7y0Rl7kj+9RTk3rrS0fxQmalmTsnSatBcNmze+Aq+hLjtHNcMQK4MoJAeJ6ys87yDFw==" saltValue="YzAdx4Nj0jTBA+t5+6ehcQ==" spinCount="100000" sheet="1" objects="1" scenarios="1"/>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1:Q206"/>
  <sheetViews>
    <sheetView showGridLines="0" showRowColHeaders="0" zoomScaleNormal="100" workbookViewId="0">
      <selection activeCell="N7" sqref="N7"/>
    </sheetView>
  </sheetViews>
  <sheetFormatPr baseColWidth="10" defaultColWidth="11.42578125" defaultRowHeight="15" x14ac:dyDescent="0.25"/>
  <cols>
    <col min="5" max="5" width="14.5703125" customWidth="1"/>
    <col min="6" max="6" width="12" customWidth="1"/>
    <col min="8" max="8" width="17.140625" customWidth="1"/>
    <col min="10" max="12" width="13.28515625" customWidth="1"/>
  </cols>
  <sheetData>
    <row r="1" spans="5:14" ht="21" x14ac:dyDescent="0.25">
      <c r="E1" s="1" t="s">
        <v>0</v>
      </c>
      <c r="F1" s="180" t="s">
        <v>377</v>
      </c>
      <c r="G1" s="180"/>
      <c r="H1" s="180"/>
      <c r="I1" s="180"/>
      <c r="J1" s="181">
        <f ca="1">TODAY()</f>
        <v>46231</v>
      </c>
      <c r="K1" s="183"/>
      <c r="L1" s="184"/>
    </row>
    <row r="2" spans="5:14" ht="21.75" thickBot="1" x14ac:dyDescent="0.3">
      <c r="E2" s="2" t="s">
        <v>1</v>
      </c>
      <c r="F2" s="187"/>
      <c r="G2" s="187"/>
      <c r="H2" s="187"/>
      <c r="I2" s="187"/>
      <c r="J2" s="182"/>
      <c r="K2" s="185"/>
      <c r="L2" s="186"/>
    </row>
    <row r="3" spans="5:14" ht="20.25" customHeight="1" x14ac:dyDescent="0.25">
      <c r="E3" s="5" t="s">
        <v>44</v>
      </c>
    </row>
    <row r="4" spans="5:14" ht="20.25" customHeight="1" x14ac:dyDescent="0.25"/>
    <row r="5" spans="5:14" ht="20.25" customHeight="1" x14ac:dyDescent="0.25">
      <c r="E5" s="11" t="s">
        <v>45</v>
      </c>
      <c r="F5" s="11" t="s">
        <v>46</v>
      </c>
    </row>
    <row r="6" spans="5:14" ht="20.25" customHeight="1" x14ac:dyDescent="0.25">
      <c r="E6" s="11" t="s">
        <v>47</v>
      </c>
      <c r="F6" s="11" t="s">
        <v>48</v>
      </c>
    </row>
    <row r="7" spans="5:14" ht="20.25" customHeight="1" x14ac:dyDescent="0.25">
      <c r="E7" s="11" t="s">
        <v>49</v>
      </c>
      <c r="F7" s="11" t="s">
        <v>50</v>
      </c>
      <c r="I7" s="9"/>
      <c r="J7" s="5"/>
    </row>
    <row r="8" spans="5:14" ht="20.25" customHeight="1" x14ac:dyDescent="0.25">
      <c r="E8" s="11" t="s">
        <v>51</v>
      </c>
      <c r="F8" s="11" t="s">
        <v>52</v>
      </c>
      <c r="J8" s="5"/>
    </row>
    <row r="9" spans="5:14" ht="24" customHeight="1" thickBot="1" x14ac:dyDescent="0.3">
      <c r="L9" s="12"/>
    </row>
    <row r="10" spans="5:14" ht="15" customHeight="1" x14ac:dyDescent="0.25">
      <c r="E10" s="256" t="s">
        <v>53</v>
      </c>
      <c r="F10" s="257"/>
      <c r="G10" s="257"/>
      <c r="H10" s="257"/>
      <c r="I10" s="203" t="s">
        <v>54</v>
      </c>
      <c r="J10" s="260" t="s">
        <v>55</v>
      </c>
      <c r="K10" s="262" t="s">
        <v>374</v>
      </c>
      <c r="L10" s="263" t="s">
        <v>56</v>
      </c>
    </row>
    <row r="11" spans="5:14" ht="20.25" customHeight="1" x14ac:dyDescent="0.25">
      <c r="E11" s="258"/>
      <c r="F11" s="259"/>
      <c r="G11" s="259"/>
      <c r="H11" s="259"/>
      <c r="I11" s="191"/>
      <c r="J11" s="261"/>
      <c r="K11" s="261"/>
      <c r="L11" s="264"/>
    </row>
    <row r="12" spans="5:14" ht="20.100000000000001" customHeight="1" x14ac:dyDescent="0.25">
      <c r="E12" s="228" t="s">
        <v>334</v>
      </c>
      <c r="F12" s="229"/>
      <c r="G12" s="229"/>
      <c r="H12" s="229"/>
      <c r="I12" s="13">
        <v>1</v>
      </c>
      <c r="J12" s="14" t="str">
        <f>IF($E$10='6'!$M$38,'6'!E9,IF('1'!$E$10='6'!$M$39,'6'!F9,IF($E$10='6'!$M$40,'6'!G9,IF('1'!$E$10='6'!$M$41,'6'!H9,""))))</f>
        <v>0,5</v>
      </c>
      <c r="K12" s="14" t="s">
        <v>57</v>
      </c>
      <c r="L12" s="15">
        <f t="shared" ref="L12:L17" si="0">IF(I12="","",I12*J12)</f>
        <v>0.5</v>
      </c>
      <c r="M12" s="16"/>
      <c r="N12" s="16"/>
    </row>
    <row r="13" spans="5:14" ht="20.100000000000001" customHeight="1" x14ac:dyDescent="0.25">
      <c r="E13" s="228" t="s">
        <v>335</v>
      </c>
      <c r="F13" s="229"/>
      <c r="G13" s="229"/>
      <c r="H13" s="229"/>
      <c r="I13" s="13"/>
      <c r="J13" s="14" t="str">
        <f>IF($E$10='6'!$M$38,'6'!E10,IF('1'!$E$10='6'!$M$39,'6'!F10,IF($E$10='6'!$M$40,'6'!G10,IF('1'!$E$10='6'!$M$41,'6'!H10,""))))</f>
        <v>0,6</v>
      </c>
      <c r="K13" s="14" t="s">
        <v>58</v>
      </c>
      <c r="L13" s="15" t="str">
        <f t="shared" si="0"/>
        <v/>
      </c>
      <c r="M13" s="17"/>
      <c r="N13" s="17"/>
    </row>
    <row r="14" spans="5:14" ht="20.100000000000001" customHeight="1" x14ac:dyDescent="0.25">
      <c r="E14" s="228" t="s">
        <v>336</v>
      </c>
      <c r="F14" s="229"/>
      <c r="G14" s="229"/>
      <c r="H14" s="229"/>
      <c r="I14" s="13"/>
      <c r="J14" s="14" t="str">
        <f>IF($E$10='6'!$M$38,'6'!E11,IF('1'!$E$10='6'!$M$39,'6'!F11,IF($E$10='6'!$M$40,'6'!G11,IF('1'!$E$10='6'!$M$41,'6'!H11,""))))</f>
        <v>0,8</v>
      </c>
      <c r="K14" s="14" t="s">
        <v>58</v>
      </c>
      <c r="L14" s="15" t="str">
        <f t="shared" si="0"/>
        <v/>
      </c>
      <c r="M14" s="17"/>
      <c r="N14" s="17"/>
    </row>
    <row r="15" spans="5:14" ht="20.100000000000001" customHeight="1" x14ac:dyDescent="0.25">
      <c r="E15" s="228" t="s">
        <v>337</v>
      </c>
      <c r="F15" s="229"/>
      <c r="G15" s="229"/>
      <c r="H15" s="229"/>
      <c r="I15" s="13"/>
      <c r="J15" s="14" t="str">
        <f>IF($E$10='6'!$M$38,'6'!E12,IF('1'!$E$10='6'!$M$39,'6'!F12,IF($E$10='6'!$M$40,'6'!G12,IF('1'!$E$10='6'!$M$41,'6'!H12,""))))</f>
        <v>0,8</v>
      </c>
      <c r="K15" s="14" t="s">
        <v>58</v>
      </c>
      <c r="L15" s="15" t="str">
        <f t="shared" si="0"/>
        <v/>
      </c>
      <c r="M15" s="17"/>
      <c r="N15" s="17"/>
    </row>
    <row r="16" spans="5:14" ht="20.100000000000001" customHeight="1" x14ac:dyDescent="0.25">
      <c r="E16" s="228" t="s">
        <v>338</v>
      </c>
      <c r="F16" s="229"/>
      <c r="G16" s="229"/>
      <c r="H16" s="229"/>
      <c r="I16" s="13"/>
      <c r="J16" s="14" t="str">
        <f>IF($E$10='6'!$M$38,'6'!E13,IF('1'!$E$10='6'!$M$39,'6'!F13,IF($E$10='6'!$M$40,'6'!G13,IF('1'!$E$10='6'!$M$41,'6'!H13,""))))</f>
        <v>0,5</v>
      </c>
      <c r="K16" s="14" t="s">
        <v>58</v>
      </c>
      <c r="L16" s="15" t="str">
        <f t="shared" si="0"/>
        <v/>
      </c>
      <c r="M16" s="18"/>
      <c r="N16" s="18"/>
    </row>
    <row r="17" spans="5:14" ht="20.100000000000001" customHeight="1" x14ac:dyDescent="0.25">
      <c r="E17" s="228" t="s">
        <v>339</v>
      </c>
      <c r="F17" s="229"/>
      <c r="G17" s="229"/>
      <c r="H17" s="229"/>
      <c r="I17" s="13"/>
      <c r="J17" s="14">
        <f>IF($E$10='6'!$M$38,'6'!E14,IF('1'!$E$10='6'!$M$39,'6'!F14,IF($E$10='6'!$M$40,'6'!G14,IF('1'!$E$10='6'!$M$41,'6'!H14,""))))</f>
        <v>0.2</v>
      </c>
      <c r="K17" s="14" t="s">
        <v>58</v>
      </c>
      <c r="L17" s="15" t="str">
        <f t="shared" si="0"/>
        <v/>
      </c>
      <c r="M17" s="18"/>
      <c r="N17" s="18"/>
    </row>
    <row r="18" spans="5:14" ht="20.100000000000001" customHeight="1" x14ac:dyDescent="0.25">
      <c r="E18" s="228" t="s">
        <v>357</v>
      </c>
      <c r="F18" s="229"/>
      <c r="G18" s="229"/>
      <c r="H18" s="229"/>
      <c r="I18" s="13"/>
      <c r="J18" s="14">
        <f>IF($E$10='6'!$M$38,'6'!E15,IF('1'!$E$10='6'!$M$39,'6'!F15,IF($E$10='6'!$M$40,'6'!G15,IF('1'!$E$10='6'!$M$41,'6'!H15,""))))</f>
        <v>0.1</v>
      </c>
      <c r="K18" s="14" t="s">
        <v>58</v>
      </c>
      <c r="L18" s="15" t="str">
        <f>IFERROR(IF(I18="","",I18*J18),"")</f>
        <v/>
      </c>
      <c r="M18" s="18"/>
      <c r="N18" s="18"/>
    </row>
    <row r="19" spans="5:14" ht="20.100000000000001" customHeight="1" x14ac:dyDescent="0.25">
      <c r="E19" s="228" t="s">
        <v>340</v>
      </c>
      <c r="F19" s="229"/>
      <c r="G19" s="229"/>
      <c r="H19" s="229"/>
      <c r="I19" s="13"/>
      <c r="J19" s="14" t="str">
        <f>IF($E$10='6'!$M$38,'6'!E16,IF('1'!$E$10='6'!$M$39,'6'!F16,IF($E$10='6'!$M$40,'6'!G16,IF('1'!$E$10='6'!$M$41,'6'!H16,""))))</f>
        <v>0,8</v>
      </c>
      <c r="K19" s="14" t="s">
        <v>58</v>
      </c>
      <c r="L19" s="15" t="str">
        <f>IF(I19="","",I19*J19)</f>
        <v/>
      </c>
      <c r="M19" s="18"/>
      <c r="N19" s="18"/>
    </row>
    <row r="20" spans="5:14" ht="20.100000000000001" customHeight="1" x14ac:dyDescent="0.25">
      <c r="E20" s="249" t="s">
        <v>356</v>
      </c>
      <c r="F20" s="246"/>
      <c r="G20" s="246"/>
      <c r="H20" s="246"/>
      <c r="I20" s="243">
        <v>1</v>
      </c>
      <c r="J20" s="229">
        <f>IF($E$10='6'!$M$38,'6'!E17,IF('1'!$E$10='6'!$M$39,'6'!F17,IF($E$10='6'!$M$40,'6'!G17,IF('1'!$E$10='6'!$M$41,'6'!H17,""))))</f>
        <v>0.8</v>
      </c>
      <c r="K20" s="254" t="s">
        <v>58</v>
      </c>
      <c r="L20" s="247">
        <f>IFERROR(IF(I20="","",I20*J20),"")</f>
        <v>0.8</v>
      </c>
      <c r="M20" s="18"/>
      <c r="N20" s="18"/>
    </row>
    <row r="21" spans="5:14" ht="20.100000000000001" customHeight="1" x14ac:dyDescent="0.25">
      <c r="E21" s="249"/>
      <c r="F21" s="246"/>
      <c r="G21" s="246"/>
      <c r="H21" s="246"/>
      <c r="I21" s="244"/>
      <c r="J21" s="229" t="str">
        <f>IF($E$10='6'!$M$38,'6'!E20,IF('1'!$E$10='6'!$M$39,'6'!F20,IF($E$10='6'!$M$40,'6'!G20,IF('1'!$E$10='6'!$M$41,'6'!H20,""))))</f>
        <v>0,8</v>
      </c>
      <c r="K21" s="255"/>
      <c r="L21" s="248"/>
      <c r="M21" s="18"/>
      <c r="N21" s="18"/>
    </row>
    <row r="22" spans="5:14" ht="20.100000000000001" customHeight="1" x14ac:dyDescent="0.25">
      <c r="E22" s="228" t="s">
        <v>341</v>
      </c>
      <c r="F22" s="229"/>
      <c r="G22" s="229"/>
      <c r="H22" s="229"/>
      <c r="I22" s="13"/>
      <c r="J22" s="14" t="str">
        <f>IF($E$10='6'!$M$38,'6'!E18,IF('1'!$E$10='6'!$M$39,'6'!F18,IF($E$10='6'!$M$40,'6'!G18,IF('1'!$E$10='6'!$M$41,'6'!H18,""))))</f>
        <v>0,8</v>
      </c>
      <c r="K22" s="14" t="s">
        <v>58</v>
      </c>
      <c r="L22" s="15" t="str">
        <f>IF(I22="","",I22*J22)</f>
        <v/>
      </c>
      <c r="M22" s="18"/>
      <c r="N22" s="18"/>
    </row>
    <row r="23" spans="5:14" ht="20.100000000000001" customHeight="1" x14ac:dyDescent="0.25">
      <c r="E23" s="228" t="s">
        <v>342</v>
      </c>
      <c r="F23" s="229"/>
      <c r="G23" s="229"/>
      <c r="H23" s="229"/>
      <c r="I23" s="13"/>
      <c r="J23" s="14" t="str">
        <f>IF($E$10='6'!$M$38,'6'!E19,IF('1'!$E$10='6'!$M$39,'6'!F19,IF($E$10='6'!$M$40,'6'!G19,IF('1'!$E$10='6'!$M$41,'6'!H19,""))))</f>
        <v>0,8</v>
      </c>
      <c r="K23" s="14" t="s">
        <v>58</v>
      </c>
      <c r="L23" s="15" t="str">
        <f t="shared" ref="L23:L29" si="1">IF(I23="","",I23*J23)</f>
        <v/>
      </c>
      <c r="M23" s="18"/>
      <c r="N23" s="18"/>
    </row>
    <row r="24" spans="5:14" ht="20.100000000000001" customHeight="1" x14ac:dyDescent="0.25">
      <c r="E24" s="228" t="s">
        <v>343</v>
      </c>
      <c r="F24" s="229"/>
      <c r="G24" s="229"/>
      <c r="H24" s="229"/>
      <c r="I24" s="13">
        <v>1</v>
      </c>
      <c r="J24" s="14" t="str">
        <f>IF($E$10='6'!$M$38,'6'!E20,IF('1'!$E$10='6'!$M$39,'6'!F20,IF($E$10='6'!$M$40,'6'!G20,IF('1'!$E$10='6'!$M$41,'6'!H20,""))))</f>
        <v>0,8</v>
      </c>
      <c r="K24" s="14" t="s">
        <v>58</v>
      </c>
      <c r="L24" s="15">
        <f t="shared" si="1"/>
        <v>0.8</v>
      </c>
      <c r="M24" s="18"/>
      <c r="N24" s="18"/>
    </row>
    <row r="25" spans="5:14" ht="20.100000000000001" customHeight="1" x14ac:dyDescent="0.25">
      <c r="E25" s="252" t="s">
        <v>344</v>
      </c>
      <c r="F25" s="253"/>
      <c r="G25" s="253"/>
      <c r="H25" s="253"/>
      <c r="I25" s="13">
        <v>1</v>
      </c>
      <c r="J25" s="14" t="str">
        <f>IF($E$10='6'!$M$38,'6'!E21,IF('1'!$E$10='6'!$M$39,'6'!F21,IF($E$10='6'!$M$40,'6'!G21,IF('1'!$E$10='6'!$M$41,'6'!H21,""))))</f>
        <v>1,5</v>
      </c>
      <c r="K25" s="14" t="s">
        <v>59</v>
      </c>
      <c r="L25" s="15">
        <f t="shared" si="1"/>
        <v>1.5</v>
      </c>
      <c r="M25" s="18"/>
      <c r="N25" s="18"/>
    </row>
    <row r="26" spans="5:14" ht="20.100000000000001" customHeight="1" x14ac:dyDescent="0.25">
      <c r="E26" s="252" t="s">
        <v>345</v>
      </c>
      <c r="F26" s="253"/>
      <c r="G26" s="253"/>
      <c r="H26" s="253"/>
      <c r="I26" s="13">
        <v>1</v>
      </c>
      <c r="J26" s="14">
        <f>IF($E$10='6'!$M$38,'6'!E22,IF('1'!$E$10='6'!$M$39,'6'!F22,IF($E$10='6'!$M$40,'6'!G22,IF('1'!$E$10='6'!$M$41,'6'!H22,""))))</f>
        <v>1.8</v>
      </c>
      <c r="K26" s="14" t="s">
        <v>60</v>
      </c>
      <c r="L26" s="15">
        <f>IFERROR(IF(I26="","",I26*J26),"")</f>
        <v>1.8</v>
      </c>
      <c r="M26" s="19"/>
      <c r="N26" s="19"/>
    </row>
    <row r="27" spans="5:14" ht="20.100000000000001" customHeight="1" x14ac:dyDescent="0.25">
      <c r="E27" s="241" t="s">
        <v>358</v>
      </c>
      <c r="F27" s="242"/>
      <c r="G27" s="242"/>
      <c r="H27" s="242"/>
      <c r="I27" s="243"/>
      <c r="J27" s="245" t="str">
        <f>IF($E$10='6'!$M$38,'6'!E23,IF('1'!$E$10='6'!$M$39,'6'!F23,IF($E$10='6'!$M$40,'6'!G23,IF('1'!$E$10='6'!$M$41,'6'!H23,""))))</f>
        <v>2,0</v>
      </c>
      <c r="K27" s="246" t="s">
        <v>61</v>
      </c>
      <c r="L27" s="247" t="str">
        <f t="shared" si="1"/>
        <v/>
      </c>
      <c r="M27" s="19"/>
      <c r="N27" s="19"/>
    </row>
    <row r="28" spans="5:14" ht="20.100000000000001" customHeight="1" x14ac:dyDescent="0.25">
      <c r="E28" s="241"/>
      <c r="F28" s="242"/>
      <c r="G28" s="242"/>
      <c r="H28" s="242"/>
      <c r="I28" s="244"/>
      <c r="J28" s="245" t="str">
        <f>IF($E$10='6'!$M$38,'6'!E27,IF('1'!$E$10='6'!$M$39,'6'!F27,IF($E$10='6'!$M$40,'6'!G27,IF('1'!$E$10='6'!$M$41,'6'!H27,""))))</f>
        <v>1,5</v>
      </c>
      <c r="K28" s="246"/>
      <c r="L28" s="248"/>
      <c r="M28" s="19"/>
      <c r="N28" s="19"/>
    </row>
    <row r="29" spans="5:14" ht="20.100000000000001" customHeight="1" x14ac:dyDescent="0.25">
      <c r="E29" s="249" t="s">
        <v>62</v>
      </c>
      <c r="F29" s="246"/>
      <c r="G29" s="246"/>
      <c r="H29" s="246"/>
      <c r="I29" s="243"/>
      <c r="J29" s="250" t="str">
        <f>IF($E$10='6'!$M$38,'6'!E24,IF('1'!$E$10='6'!$M$39,'6'!F24,IF($E$10='6'!$M$40,'6'!G24,IF('1'!$E$10='6'!$M$41,'6'!H24,""))))</f>
        <v>2,0</v>
      </c>
      <c r="K29" s="251" t="s">
        <v>63</v>
      </c>
      <c r="L29" s="247" t="str">
        <f t="shared" si="1"/>
        <v/>
      </c>
      <c r="M29" s="19"/>
      <c r="N29" s="19"/>
    </row>
    <row r="30" spans="5:14" ht="20.100000000000001" customHeight="1" x14ac:dyDescent="0.25">
      <c r="E30" s="249"/>
      <c r="F30" s="246"/>
      <c r="G30" s="246"/>
      <c r="H30" s="246"/>
      <c r="I30" s="244"/>
      <c r="J30" s="250">
        <f>IF($E$10='6'!$M$38,'6'!E29,IF('1'!$E$10='6'!$M$39,'6'!F29,IF($E$10='6'!$M$40,'6'!G29,IF('1'!$E$10='6'!$M$41,'6'!H29,""))))</f>
        <v>0</v>
      </c>
      <c r="K30" s="251"/>
      <c r="L30" s="248"/>
      <c r="M30" s="19"/>
      <c r="N30" s="19"/>
    </row>
    <row r="31" spans="5:14" ht="20.100000000000001" customHeight="1" x14ac:dyDescent="0.25">
      <c r="E31" s="228" t="s">
        <v>359</v>
      </c>
      <c r="F31" s="229"/>
      <c r="G31" s="229"/>
      <c r="H31" s="229"/>
      <c r="I31" s="13"/>
      <c r="J31" s="152" t="str">
        <f>IF($E$10='6'!$M$38,'6'!E25,IF('1'!$E$10='6'!$M$39,'6'!F25,IF($E$10='6'!$M$40,'6'!G25,IF('1'!$E$10='6'!$M$41,'6'!H25,""))))</f>
        <v>2,5</v>
      </c>
      <c r="K31" s="14" t="s">
        <v>64</v>
      </c>
      <c r="L31" s="15" t="str">
        <f>IF(I31="","",I31*J31)</f>
        <v/>
      </c>
      <c r="M31" s="19"/>
      <c r="N31" s="19"/>
    </row>
    <row r="32" spans="5:14" ht="20.100000000000001" customHeight="1" x14ac:dyDescent="0.25">
      <c r="E32" s="228" t="s">
        <v>360</v>
      </c>
      <c r="F32" s="229"/>
      <c r="G32" s="229"/>
      <c r="H32" s="229"/>
      <c r="I32" s="13"/>
      <c r="J32" s="152" t="str">
        <f>IF($E$10='6'!$M$38,'6'!E26,IF('1'!$E$10='6'!$M$39,'6'!F26,IF($E$10='6'!$M$40,'6'!G26,IF('1'!$E$10='6'!$M$41,'6'!H26,""))))</f>
        <v>0,8</v>
      </c>
      <c r="K32" s="14" t="s">
        <v>58</v>
      </c>
      <c r="L32" s="15" t="str">
        <f>IFERROR(IF(I32="","",I32*J32),"")</f>
        <v/>
      </c>
      <c r="M32" s="19"/>
      <c r="N32" s="19"/>
    </row>
    <row r="33" spans="5:17" ht="20.100000000000001" customHeight="1" x14ac:dyDescent="0.25">
      <c r="E33" s="228" t="s">
        <v>361</v>
      </c>
      <c r="F33" s="229"/>
      <c r="G33" s="229"/>
      <c r="H33" s="229"/>
      <c r="I33" s="13"/>
      <c r="J33" s="152" t="str">
        <f>IF($E$10='6'!$M$38,'6'!E27,IF('1'!$E$10='6'!$M$39,'6'!F27,IF($E$10='6'!$M$40,'6'!G27,IF('1'!$E$10='6'!$M$41,'6'!H27,""))))</f>
        <v>1,5</v>
      </c>
      <c r="K33" s="14" t="s">
        <v>65</v>
      </c>
      <c r="L33" s="15" t="str">
        <f>IFERROR(IF(I33="","",I33*J33),"")</f>
        <v/>
      </c>
      <c r="M33" s="19"/>
      <c r="N33" s="19"/>
    </row>
    <row r="34" spans="5:17" ht="20.100000000000001" customHeight="1" x14ac:dyDescent="0.25">
      <c r="E34" s="228" t="s">
        <v>362</v>
      </c>
      <c r="F34" s="229"/>
      <c r="G34" s="229"/>
      <c r="H34" s="229"/>
      <c r="I34" s="13">
        <v>2</v>
      </c>
      <c r="J34" s="152" t="str">
        <f>IF($E$10='6'!$M$38,'6'!E28,IF('1'!$E$10='6'!$M$39,'6'!F28,IF($E$10='6'!$M$40,'6'!G28,IF('1'!$E$10='6'!$M$41,'6'!H28,""))))</f>
        <v>2,0</v>
      </c>
      <c r="K34" s="14" t="s">
        <v>64</v>
      </c>
      <c r="L34" s="15">
        <f>IFERROR(IF(I34="","",I34*J34),"")</f>
        <v>4</v>
      </c>
      <c r="M34" s="20"/>
      <c r="N34" s="20"/>
    </row>
    <row r="35" spans="5:17" ht="15" customHeight="1" x14ac:dyDescent="0.25">
      <c r="E35" s="230" t="s">
        <v>366</v>
      </c>
      <c r="F35" s="231"/>
      <c r="G35" s="231"/>
      <c r="H35" s="231"/>
      <c r="I35" s="231"/>
      <c r="J35" s="231"/>
      <c r="K35" s="231"/>
      <c r="L35" s="232"/>
      <c r="M35" s="20"/>
      <c r="N35" s="20"/>
    </row>
    <row r="36" spans="5:17" x14ac:dyDescent="0.25">
      <c r="E36" s="233"/>
      <c r="F36" s="234"/>
      <c r="G36" s="234"/>
      <c r="H36" s="234"/>
      <c r="I36" s="234"/>
      <c r="J36" s="234"/>
      <c r="K36" s="234"/>
      <c r="L36" s="235"/>
    </row>
    <row r="37" spans="5:17" x14ac:dyDescent="0.25">
      <c r="E37" s="233"/>
      <c r="F37" s="234"/>
      <c r="G37" s="234"/>
      <c r="H37" s="234"/>
      <c r="I37" s="234"/>
      <c r="J37" s="234"/>
      <c r="K37" s="234"/>
      <c r="L37" s="235"/>
    </row>
    <row r="38" spans="5:17" x14ac:dyDescent="0.25">
      <c r="E38" s="233"/>
      <c r="F38" s="234"/>
      <c r="G38" s="234"/>
      <c r="H38" s="234"/>
      <c r="I38" s="234"/>
      <c r="J38" s="234"/>
      <c r="K38" s="234"/>
      <c r="L38" s="235"/>
    </row>
    <row r="39" spans="5:17" ht="43.5" customHeight="1" x14ac:dyDescent="0.25">
      <c r="E39" s="236"/>
      <c r="F39" s="237"/>
      <c r="G39" s="237"/>
      <c r="H39" s="237"/>
      <c r="I39" s="237"/>
      <c r="J39" s="237"/>
      <c r="K39" s="237"/>
      <c r="L39" s="238"/>
      <c r="M39" s="20"/>
      <c r="N39" s="20"/>
    </row>
    <row r="40" spans="5:17" ht="17.25" customHeight="1" x14ac:dyDescent="0.25">
      <c r="E40" s="20"/>
      <c r="F40" s="20"/>
      <c r="G40" s="20"/>
      <c r="H40" s="20"/>
      <c r="I40" s="20"/>
      <c r="J40" s="20"/>
      <c r="K40" s="20"/>
      <c r="L40" s="20"/>
      <c r="M40" s="20"/>
      <c r="N40" s="20"/>
    </row>
    <row r="41" spans="5:17" ht="20.100000000000001" customHeight="1" x14ac:dyDescent="0.25">
      <c r="E41" s="20"/>
      <c r="F41" s="20"/>
      <c r="G41" s="20"/>
      <c r="H41" s="20"/>
      <c r="I41" s="20"/>
      <c r="J41" s="21" t="s">
        <v>66</v>
      </c>
      <c r="K41" s="22">
        <f>SUM(L12:L34)</f>
        <v>9.4</v>
      </c>
      <c r="L41" s="23" t="s">
        <v>67</v>
      </c>
      <c r="M41" s="20"/>
      <c r="N41" s="20"/>
    </row>
    <row r="42" spans="5:17" ht="20.100000000000001" customHeight="1" thickBot="1" x14ac:dyDescent="0.3">
      <c r="E42" s="24"/>
      <c r="F42" s="25"/>
      <c r="G42" s="25"/>
      <c r="H42" s="25"/>
      <c r="I42" s="25"/>
      <c r="J42" s="25"/>
      <c r="K42" s="25"/>
      <c r="L42" s="25"/>
      <c r="M42" s="25"/>
      <c r="N42" s="25"/>
    </row>
    <row r="43" spans="5:17" ht="36" customHeight="1" x14ac:dyDescent="0.25">
      <c r="E43" s="202" t="s">
        <v>68</v>
      </c>
      <c r="F43" s="203"/>
      <c r="G43" s="203"/>
      <c r="H43" s="203"/>
      <c r="I43" s="203"/>
      <c r="J43" s="203"/>
      <c r="K43" s="239" t="s">
        <v>69</v>
      </c>
      <c r="L43" s="240"/>
      <c r="M43" s="20"/>
      <c r="N43" s="20"/>
    </row>
    <row r="44" spans="5:17" ht="20.100000000000001" customHeight="1" thickBot="1" x14ac:dyDescent="0.3">
      <c r="E44" s="214" t="s">
        <v>107</v>
      </c>
      <c r="F44" s="215"/>
      <c r="G44" s="215"/>
      <c r="H44" s="215"/>
      <c r="I44" s="215"/>
      <c r="J44" s="216"/>
      <c r="K44" s="217">
        <f>IFERROR(VLOOKUP($E$44,'10'!C4:D8,2,0),"")</f>
        <v>0.5</v>
      </c>
      <c r="L44" s="218"/>
      <c r="M44" s="20"/>
      <c r="N44" s="20"/>
    </row>
    <row r="45" spans="5:17" ht="20.100000000000001" customHeight="1" x14ac:dyDescent="0.25">
      <c r="E45" s="20"/>
      <c r="L45" s="9"/>
      <c r="M45" s="20"/>
      <c r="N45" s="20"/>
      <c r="Q45" s="7"/>
    </row>
    <row r="46" spans="5:17" ht="20.100000000000001" customHeight="1" x14ac:dyDescent="0.25">
      <c r="E46" s="25"/>
      <c r="J46" s="26" t="s">
        <v>71</v>
      </c>
      <c r="K46" s="27">
        <f>IFERROR(K44*(K41^0.5),"")</f>
        <v>1.5329709716755893</v>
      </c>
      <c r="L46" s="23" t="s">
        <v>67</v>
      </c>
      <c r="M46" s="25"/>
      <c r="N46" s="25"/>
      <c r="Q46" s="7"/>
    </row>
    <row r="47" spans="5:17" ht="20.100000000000001" customHeight="1" thickBot="1" x14ac:dyDescent="0.3">
      <c r="E47" s="24"/>
      <c r="F47" s="25"/>
      <c r="G47" s="25"/>
      <c r="H47" s="25"/>
      <c r="I47" s="25"/>
      <c r="J47" s="25"/>
      <c r="K47" s="25"/>
      <c r="L47" s="25"/>
      <c r="M47" s="25"/>
      <c r="N47" s="25"/>
      <c r="Q47" s="7"/>
    </row>
    <row r="48" spans="5:17" ht="20.100000000000001" customHeight="1" x14ac:dyDescent="0.25">
      <c r="E48" s="219" t="s">
        <v>72</v>
      </c>
      <c r="F48" s="220"/>
      <c r="G48" s="220"/>
      <c r="H48" s="220"/>
      <c r="I48" s="220"/>
      <c r="J48" s="220"/>
      <c r="K48" s="220"/>
      <c r="L48" s="221"/>
      <c r="M48" s="25"/>
      <c r="N48" s="25"/>
      <c r="Q48" s="7"/>
    </row>
    <row r="49" spans="5:14" ht="10.5" customHeight="1" x14ac:dyDescent="0.25">
      <c r="E49" s="222"/>
      <c r="F49" s="223"/>
      <c r="G49" s="223"/>
      <c r="H49" s="223"/>
      <c r="I49" s="223"/>
      <c r="J49" s="223"/>
      <c r="K49" s="223"/>
      <c r="L49" s="224"/>
      <c r="M49" s="25"/>
      <c r="N49" s="25"/>
    </row>
    <row r="50" spans="5:14" ht="10.5" customHeight="1" thickBot="1" x14ac:dyDescent="0.3">
      <c r="E50" s="225"/>
      <c r="F50" s="226"/>
      <c r="G50" s="226"/>
      <c r="H50" s="226"/>
      <c r="I50" s="226"/>
      <c r="J50" s="226"/>
      <c r="K50" s="226"/>
      <c r="L50" s="227"/>
      <c r="M50" s="25"/>
      <c r="N50" s="25"/>
    </row>
    <row r="51" spans="5:14" ht="20.100000000000001" customHeight="1" thickBot="1" x14ac:dyDescent="0.3">
      <c r="E51" s="24"/>
      <c r="F51" s="25"/>
      <c r="G51" s="25"/>
      <c r="H51" s="25"/>
      <c r="I51" s="25"/>
      <c r="J51" s="25"/>
      <c r="K51" s="25"/>
      <c r="L51" s="25"/>
      <c r="M51" s="25"/>
      <c r="N51" s="25"/>
    </row>
    <row r="52" spans="5:14" ht="20.100000000000001" customHeight="1" thickBot="1" x14ac:dyDescent="0.3">
      <c r="E52" s="28" t="s">
        <v>73</v>
      </c>
      <c r="F52" s="25"/>
      <c r="G52" s="25"/>
      <c r="H52" s="25"/>
      <c r="I52" s="25"/>
      <c r="J52" s="26" t="s">
        <v>74</v>
      </c>
      <c r="K52" s="29">
        <v>2</v>
      </c>
      <c r="L52" s="23" t="s">
        <v>67</v>
      </c>
      <c r="M52" s="25"/>
      <c r="N52" s="25"/>
    </row>
    <row r="53" spans="5:14" ht="20.100000000000001" customHeight="1" x14ac:dyDescent="0.25">
      <c r="E53" s="24"/>
      <c r="F53" s="25"/>
      <c r="G53" s="25"/>
      <c r="H53" s="25"/>
      <c r="I53" s="25"/>
      <c r="J53" s="25"/>
      <c r="K53" s="25"/>
      <c r="L53" s="25"/>
      <c r="M53" s="25"/>
      <c r="N53" s="25"/>
    </row>
    <row r="54" spans="5:14" ht="20.100000000000001" customHeight="1" x14ac:dyDescent="0.35">
      <c r="E54" s="24"/>
      <c r="F54" s="6" t="s">
        <v>49</v>
      </c>
      <c r="G54" s="11" t="s">
        <v>50</v>
      </c>
      <c r="I54" s="25"/>
      <c r="J54" s="25"/>
      <c r="K54" s="25"/>
      <c r="L54" s="25"/>
      <c r="M54" s="25"/>
      <c r="N54" s="25"/>
    </row>
    <row r="55" spans="5:14" ht="20.100000000000001" customHeight="1" x14ac:dyDescent="0.25">
      <c r="E55" s="24"/>
      <c r="F55" s="24"/>
      <c r="G55" s="11" t="s">
        <v>75</v>
      </c>
      <c r="H55" s="25"/>
      <c r="I55" s="25"/>
      <c r="J55" s="25"/>
      <c r="K55" s="25"/>
      <c r="L55" s="25"/>
      <c r="M55" s="25"/>
      <c r="N55" s="25"/>
    </row>
    <row r="56" spans="5:14" ht="20.100000000000001" customHeight="1" thickBot="1" x14ac:dyDescent="0.3">
      <c r="E56" s="24"/>
      <c r="F56" s="25"/>
      <c r="G56" s="25"/>
      <c r="H56" s="25"/>
      <c r="I56" s="25"/>
      <c r="J56" s="25"/>
      <c r="K56" s="25"/>
      <c r="L56" s="25"/>
      <c r="M56" s="25"/>
      <c r="N56" s="25"/>
    </row>
    <row r="57" spans="5:14" ht="20.100000000000001" hidden="1" customHeight="1" x14ac:dyDescent="0.25">
      <c r="E57" s="11" t="s">
        <v>76</v>
      </c>
      <c r="F57" s="30"/>
      <c r="G57" s="31"/>
      <c r="H57" s="32" t="s">
        <v>77</v>
      </c>
      <c r="I57" s="6"/>
      <c r="J57" s="33" t="s">
        <v>78</v>
      </c>
      <c r="K57" s="34" t="str">
        <f>IF(M57=0,"",M57)</f>
        <v/>
      </c>
      <c r="L57" s="35" t="s">
        <v>67</v>
      </c>
      <c r="M57" s="36">
        <f>($G$57/10)/3600</f>
        <v>0</v>
      </c>
      <c r="N57" s="25"/>
    </row>
    <row r="58" spans="5:14" ht="20.100000000000001" hidden="1" customHeight="1" x14ac:dyDescent="0.25">
      <c r="E58" s="5"/>
      <c r="F58" s="30"/>
      <c r="G58" s="30"/>
      <c r="H58" s="30"/>
      <c r="I58" s="6"/>
      <c r="J58" s="30"/>
      <c r="K58" s="30"/>
      <c r="L58" s="30"/>
      <c r="M58" s="25"/>
      <c r="N58" s="25"/>
    </row>
    <row r="59" spans="5:14" ht="20.100000000000001" hidden="1" customHeight="1" x14ac:dyDescent="0.25">
      <c r="E59" s="11" t="s">
        <v>79</v>
      </c>
      <c r="F59" s="30"/>
      <c r="G59" s="31"/>
      <c r="H59" s="32" t="s">
        <v>77</v>
      </c>
      <c r="I59" s="6"/>
      <c r="J59" s="33" t="s">
        <v>80</v>
      </c>
      <c r="K59" s="34" t="str">
        <f>IF(M59=0,"",M59)</f>
        <v/>
      </c>
      <c r="L59" s="35" t="s">
        <v>67</v>
      </c>
      <c r="M59" s="36">
        <f>($G$57/10)/3600</f>
        <v>0</v>
      </c>
      <c r="N59" s="25"/>
    </row>
    <row r="60" spans="5:14" ht="20.100000000000001" hidden="1" customHeight="1" x14ac:dyDescent="0.25">
      <c r="E60" s="5"/>
      <c r="F60" s="30"/>
      <c r="G60" s="30"/>
      <c r="H60" s="30"/>
      <c r="I60" s="30"/>
      <c r="J60" s="30"/>
      <c r="K60" s="30"/>
      <c r="L60" s="30"/>
      <c r="M60" s="25"/>
      <c r="N60" s="25"/>
    </row>
    <row r="61" spans="5:14" ht="20.100000000000001" customHeight="1" thickBot="1" x14ac:dyDescent="0.3">
      <c r="E61" s="5" t="s">
        <v>81</v>
      </c>
      <c r="F61" s="30"/>
      <c r="G61" s="37"/>
      <c r="H61" s="30"/>
      <c r="I61" s="30"/>
      <c r="J61" s="33" t="s">
        <v>82</v>
      </c>
      <c r="K61" s="38">
        <f>(G63*G61)/3600</f>
        <v>0</v>
      </c>
      <c r="L61" s="35" t="s">
        <v>67</v>
      </c>
      <c r="M61" s="39">
        <f>G61*G63/3600</f>
        <v>0</v>
      </c>
      <c r="N61" s="25"/>
    </row>
    <row r="62" spans="5:14" ht="20.100000000000001" hidden="1" customHeight="1" x14ac:dyDescent="0.25">
      <c r="E62" s="11"/>
      <c r="F62" s="6"/>
      <c r="G62" s="37"/>
      <c r="H62" s="6"/>
      <c r="I62" s="6"/>
      <c r="J62" s="6"/>
      <c r="K62" s="6"/>
      <c r="L62" s="30"/>
      <c r="M62" s="25"/>
      <c r="N62" s="25"/>
    </row>
    <row r="63" spans="5:14" ht="20.100000000000001" customHeight="1" thickBot="1" x14ac:dyDescent="0.3">
      <c r="E63" s="5" t="s">
        <v>83</v>
      </c>
      <c r="F63" s="30"/>
      <c r="G63" s="37">
        <v>20</v>
      </c>
      <c r="H63" s="32" t="s">
        <v>84</v>
      </c>
      <c r="I63" s="11" t="s">
        <v>85</v>
      </c>
      <c r="J63" s="30"/>
      <c r="K63" s="30"/>
      <c r="L63" s="30"/>
      <c r="M63" s="25"/>
      <c r="N63" s="25"/>
    </row>
    <row r="64" spans="5:14" ht="20.100000000000001" customHeight="1" thickBot="1" x14ac:dyDescent="0.3">
      <c r="E64" s="40"/>
      <c r="F64" s="30"/>
      <c r="G64" s="30"/>
      <c r="H64" s="30"/>
      <c r="I64" s="30"/>
      <c r="J64" s="30"/>
      <c r="K64" s="30"/>
      <c r="L64" s="30"/>
      <c r="M64" s="25"/>
      <c r="N64" s="25"/>
    </row>
    <row r="65" spans="5:14" ht="20.100000000000001" customHeight="1" thickBot="1" x14ac:dyDescent="0.3">
      <c r="E65" s="37" t="s">
        <v>86</v>
      </c>
      <c r="F65" s="30"/>
      <c r="G65" s="37"/>
      <c r="H65" s="35" t="s">
        <v>67</v>
      </c>
      <c r="I65" s="30"/>
      <c r="J65" s="33" t="s">
        <v>87</v>
      </c>
      <c r="K65" s="38">
        <f>G65</f>
        <v>0</v>
      </c>
      <c r="L65" s="35" t="s">
        <v>67</v>
      </c>
      <c r="M65" s="36">
        <f>G65</f>
        <v>0</v>
      </c>
      <c r="N65" s="25"/>
    </row>
    <row r="66" spans="5:14" ht="20.100000000000001" customHeight="1" thickBot="1" x14ac:dyDescent="0.3">
      <c r="E66" s="40"/>
      <c r="F66" s="30"/>
      <c r="G66" s="30"/>
      <c r="H66" s="30"/>
      <c r="I66" s="30"/>
      <c r="J66" s="30"/>
      <c r="K66" s="30"/>
      <c r="L66" s="30"/>
      <c r="M66" s="25"/>
      <c r="N66" s="25"/>
    </row>
    <row r="67" spans="5:14" ht="30.75" customHeight="1" thickBot="1" x14ac:dyDescent="0.3">
      <c r="E67" s="37" t="s">
        <v>88</v>
      </c>
      <c r="F67" s="30"/>
      <c r="G67" s="37"/>
      <c r="H67" s="35" t="s">
        <v>67</v>
      </c>
      <c r="I67" s="30"/>
      <c r="J67" s="33" t="s">
        <v>89</v>
      </c>
      <c r="K67" s="38">
        <f>G67</f>
        <v>0</v>
      </c>
      <c r="L67" s="35" t="s">
        <v>67</v>
      </c>
      <c r="M67" s="36">
        <f>G67</f>
        <v>0</v>
      </c>
      <c r="N67" s="25"/>
    </row>
    <row r="68" spans="5:14" ht="20.100000000000001" customHeight="1" thickBot="1" x14ac:dyDescent="0.3">
      <c r="E68" s="40"/>
      <c r="F68" s="30"/>
      <c r="G68" s="30"/>
      <c r="H68" s="30"/>
      <c r="I68" s="30"/>
      <c r="J68" s="30"/>
      <c r="K68" s="30"/>
      <c r="L68" s="30"/>
      <c r="M68" s="25"/>
      <c r="N68" s="25"/>
    </row>
    <row r="69" spans="5:14" ht="20.100000000000001" customHeight="1" thickBot="1" x14ac:dyDescent="0.3">
      <c r="E69" s="37" t="s">
        <v>90</v>
      </c>
      <c r="F69" s="30"/>
      <c r="G69" s="37"/>
      <c r="H69" s="35" t="s">
        <v>67</v>
      </c>
      <c r="I69" s="30"/>
      <c r="J69" s="33" t="s">
        <v>91</v>
      </c>
      <c r="K69" s="38">
        <f>G69</f>
        <v>0</v>
      </c>
      <c r="L69" s="35" t="s">
        <v>67</v>
      </c>
      <c r="M69" s="36">
        <f>G69</f>
        <v>0</v>
      </c>
      <c r="N69" s="25"/>
    </row>
    <row r="70" spans="5:14" ht="20.100000000000001" customHeight="1" x14ac:dyDescent="0.25">
      <c r="E70" s="40"/>
      <c r="F70" s="30"/>
      <c r="G70" s="30"/>
      <c r="H70" s="30"/>
      <c r="I70" s="30"/>
      <c r="J70" s="30"/>
      <c r="K70" s="30"/>
      <c r="L70" s="30"/>
      <c r="M70" s="25"/>
      <c r="N70" s="25"/>
    </row>
    <row r="71" spans="5:14" ht="20.100000000000001" customHeight="1" x14ac:dyDescent="0.35">
      <c r="E71" s="40"/>
      <c r="F71" s="40" t="s">
        <v>92</v>
      </c>
      <c r="G71" s="11" t="s">
        <v>52</v>
      </c>
      <c r="H71" s="6"/>
      <c r="I71" s="30"/>
      <c r="J71" s="30"/>
      <c r="K71" s="30"/>
      <c r="L71" s="30"/>
      <c r="M71" s="25"/>
      <c r="N71" s="25"/>
    </row>
    <row r="72" spans="5:14" ht="20.100000000000001" customHeight="1" x14ac:dyDescent="0.25">
      <c r="E72" s="40"/>
      <c r="F72" s="30"/>
      <c r="G72" s="41" t="s">
        <v>93</v>
      </c>
      <c r="H72" s="30"/>
      <c r="I72" s="30"/>
      <c r="J72" s="30"/>
      <c r="K72" s="30"/>
      <c r="L72" s="30"/>
      <c r="M72" s="25"/>
      <c r="N72" s="25"/>
    </row>
    <row r="73" spans="5:14" ht="20.100000000000001" customHeight="1" thickBot="1" x14ac:dyDescent="0.3">
      <c r="E73" s="40"/>
      <c r="F73" s="30"/>
      <c r="G73" s="30"/>
      <c r="H73" s="30"/>
      <c r="I73" s="30"/>
      <c r="J73" s="30"/>
      <c r="K73" s="30"/>
      <c r="L73" s="30"/>
      <c r="M73" s="25"/>
      <c r="N73" s="25"/>
    </row>
    <row r="74" spans="5:14" ht="20.100000000000001" customHeight="1" thickBot="1" x14ac:dyDescent="0.3">
      <c r="E74" s="37" t="s">
        <v>94</v>
      </c>
      <c r="F74" s="30"/>
      <c r="G74" s="37"/>
      <c r="H74" s="35" t="s">
        <v>67</v>
      </c>
      <c r="I74" s="30"/>
      <c r="J74" s="33" t="s">
        <v>95</v>
      </c>
      <c r="K74" s="38">
        <f>G74</f>
        <v>0</v>
      </c>
      <c r="L74" s="35" t="s">
        <v>67</v>
      </c>
      <c r="M74" s="42">
        <f>G74</f>
        <v>0</v>
      </c>
      <c r="N74" s="25"/>
    </row>
    <row r="75" spans="5:14" ht="20.100000000000001" customHeight="1" thickBot="1" x14ac:dyDescent="0.3">
      <c r="E75" s="40"/>
      <c r="F75" s="30"/>
      <c r="G75" s="30"/>
      <c r="H75" s="30"/>
      <c r="I75" s="30"/>
      <c r="J75" s="30"/>
      <c r="K75" s="30"/>
      <c r="L75" s="30"/>
      <c r="M75" s="25"/>
      <c r="N75" s="25"/>
    </row>
    <row r="76" spans="5:14" ht="20.100000000000001" customHeight="1" thickBot="1" x14ac:dyDescent="0.3">
      <c r="E76" s="37" t="s">
        <v>96</v>
      </c>
      <c r="F76" s="30"/>
      <c r="G76" s="37"/>
      <c r="H76" s="35" t="s">
        <v>67</v>
      </c>
      <c r="I76" s="30"/>
      <c r="J76" s="33" t="s">
        <v>97</v>
      </c>
      <c r="K76" s="38">
        <f>G76</f>
        <v>0</v>
      </c>
      <c r="L76" s="35" t="s">
        <v>67</v>
      </c>
      <c r="M76" s="42">
        <f>G76</f>
        <v>0</v>
      </c>
      <c r="N76" s="25"/>
    </row>
    <row r="77" spans="5:14" ht="20.100000000000001" customHeight="1" thickBot="1" x14ac:dyDescent="0.3">
      <c r="E77" s="40"/>
      <c r="F77" s="30"/>
      <c r="G77" s="30"/>
      <c r="H77" s="30"/>
      <c r="I77" s="30"/>
      <c r="J77" s="30"/>
      <c r="K77" s="30"/>
      <c r="L77" s="30"/>
      <c r="M77" s="25"/>
      <c r="N77" s="25"/>
    </row>
    <row r="78" spans="5:14" ht="20.100000000000001" customHeight="1" thickBot="1" x14ac:dyDescent="0.3">
      <c r="E78" s="37" t="s">
        <v>98</v>
      </c>
      <c r="F78" s="30"/>
      <c r="G78" s="37"/>
      <c r="H78" s="35" t="s">
        <v>67</v>
      </c>
      <c r="I78" s="30"/>
      <c r="J78" s="33" t="s">
        <v>99</v>
      </c>
      <c r="K78" s="38">
        <f>G78</f>
        <v>0</v>
      </c>
      <c r="L78" s="35" t="s">
        <v>67</v>
      </c>
      <c r="M78" s="42">
        <f>G78</f>
        <v>0</v>
      </c>
      <c r="N78" s="25"/>
    </row>
    <row r="79" spans="5:14" ht="20.100000000000001" customHeight="1" thickBot="1" x14ac:dyDescent="0.3">
      <c r="E79" s="40"/>
      <c r="F79" s="30"/>
      <c r="G79" s="30"/>
      <c r="H79" s="30"/>
      <c r="I79" s="30"/>
      <c r="J79" s="30"/>
      <c r="K79" s="30"/>
      <c r="L79" s="30"/>
      <c r="M79" s="25"/>
      <c r="N79" s="25"/>
    </row>
    <row r="80" spans="5:14" ht="20.100000000000001" customHeight="1" thickBot="1" x14ac:dyDescent="0.3">
      <c r="E80" s="40"/>
      <c r="F80" s="30"/>
      <c r="G80" s="30"/>
      <c r="H80" s="30"/>
      <c r="I80" s="30"/>
      <c r="J80" s="30"/>
      <c r="K80" s="43">
        <f>IF(K52&lt;K46,K46+K61+K65+K67+K69+K74+K76+K78,K52+K61+K65+K67+K69+K74+K76+K78)</f>
        <v>2</v>
      </c>
      <c r="L80" s="44" t="s">
        <v>67</v>
      </c>
      <c r="M80" s="25"/>
      <c r="N80" s="25"/>
    </row>
    <row r="81" spans="5:14" ht="20.100000000000001" customHeight="1" thickBot="1" x14ac:dyDescent="0.3">
      <c r="E81" s="40"/>
      <c r="F81" s="30"/>
      <c r="G81" s="30"/>
      <c r="H81" s="6"/>
      <c r="I81" s="45"/>
      <c r="J81" s="6"/>
      <c r="K81" s="30"/>
      <c r="L81" s="6"/>
      <c r="M81" s="25"/>
      <c r="N81" s="25"/>
    </row>
    <row r="82" spans="5:14" ht="20.100000000000001" customHeight="1" thickBot="1" x14ac:dyDescent="0.3">
      <c r="E82" s="40"/>
      <c r="F82" s="30"/>
      <c r="G82" s="30"/>
      <c r="H82" s="45"/>
      <c r="I82" s="45"/>
      <c r="J82" s="44"/>
      <c r="K82" s="43">
        <f>IF(K80="","",K80*3.6)</f>
        <v>7.2</v>
      </c>
      <c r="L82" s="44" t="s">
        <v>100</v>
      </c>
      <c r="M82" s="25"/>
      <c r="N82" s="25"/>
    </row>
    <row r="83" spans="5:14" ht="20.100000000000001" customHeight="1" x14ac:dyDescent="0.25">
      <c r="E83" s="24"/>
      <c r="F83" s="25"/>
      <c r="G83" s="25"/>
      <c r="H83" s="25"/>
      <c r="I83" s="25"/>
      <c r="J83" s="25"/>
      <c r="K83" s="25"/>
      <c r="L83" s="25"/>
      <c r="M83" s="25"/>
      <c r="N83" s="25"/>
    </row>
    <row r="84" spans="5:14" ht="20.100000000000001" customHeight="1" x14ac:dyDescent="0.25">
      <c r="E84" s="24"/>
      <c r="F84" s="25"/>
      <c r="G84" s="25"/>
      <c r="I84" s="46"/>
      <c r="K84" s="25"/>
      <c r="M84" s="25"/>
      <c r="N84" s="25"/>
    </row>
    <row r="85" spans="5:14" ht="20.100000000000001" customHeight="1" x14ac:dyDescent="0.25">
      <c r="E85" s="24"/>
      <c r="F85" s="25"/>
      <c r="G85" s="25"/>
      <c r="H85" s="46"/>
      <c r="I85" s="46"/>
      <c r="J85" s="47"/>
      <c r="K85" s="25"/>
      <c r="L85" s="25"/>
      <c r="M85" s="25"/>
      <c r="N85" s="25"/>
    </row>
    <row r="86" spans="5:14" ht="20.100000000000001" customHeight="1" x14ac:dyDescent="0.25">
      <c r="E86" s="24"/>
      <c r="F86" s="25"/>
      <c r="G86" s="25"/>
      <c r="H86" s="25"/>
      <c r="I86" s="25"/>
      <c r="J86" s="25"/>
      <c r="K86" s="25"/>
      <c r="L86" s="25"/>
      <c r="M86" s="25"/>
      <c r="N86" s="25"/>
    </row>
    <row r="87" spans="5:14" ht="20.100000000000001" customHeight="1" x14ac:dyDescent="0.25">
      <c r="E87" s="24"/>
      <c r="F87" s="25"/>
      <c r="G87" s="25"/>
      <c r="H87" s="25"/>
      <c r="I87" s="25"/>
      <c r="J87" s="25"/>
      <c r="K87" s="25"/>
      <c r="L87" s="25"/>
      <c r="M87" s="25"/>
      <c r="N87" s="25"/>
    </row>
    <row r="88" spans="5:14" ht="20.100000000000001" customHeight="1" x14ac:dyDescent="0.25">
      <c r="E88" s="24"/>
      <c r="F88" s="25"/>
      <c r="G88" s="25"/>
      <c r="H88" s="25"/>
      <c r="I88" s="25"/>
      <c r="J88" s="25"/>
      <c r="K88" s="25"/>
      <c r="L88" s="25"/>
      <c r="M88" s="25"/>
      <c r="N88" s="25"/>
    </row>
    <row r="89" spans="5:14" ht="20.100000000000001" customHeight="1" x14ac:dyDescent="0.25">
      <c r="E89" s="24"/>
      <c r="F89" s="25"/>
      <c r="G89" s="25"/>
      <c r="H89" s="25"/>
      <c r="I89" s="25"/>
      <c r="J89" s="25"/>
      <c r="K89" s="25"/>
      <c r="L89" s="25"/>
      <c r="M89" s="25"/>
      <c r="N89" s="25"/>
    </row>
    <row r="90" spans="5:14" ht="20.100000000000001" customHeight="1" x14ac:dyDescent="0.25">
      <c r="E90" s="24"/>
      <c r="F90" s="25"/>
      <c r="G90" s="25"/>
      <c r="H90" s="25"/>
      <c r="I90" s="25"/>
      <c r="J90" s="25"/>
      <c r="K90" s="25"/>
      <c r="L90" s="25"/>
      <c r="M90" s="25"/>
      <c r="N90" s="25"/>
    </row>
    <row r="91" spans="5:14" ht="20.100000000000001" customHeight="1" x14ac:dyDescent="0.25">
      <c r="E91" s="24"/>
      <c r="F91" s="25"/>
      <c r="G91" s="25"/>
      <c r="H91" s="25"/>
      <c r="I91" s="25"/>
      <c r="J91" s="25"/>
      <c r="K91" s="25"/>
      <c r="L91" s="25"/>
      <c r="M91" s="25"/>
      <c r="N91" s="25"/>
    </row>
    <row r="92" spans="5:14" ht="20.100000000000001" customHeight="1" x14ac:dyDescent="0.25">
      <c r="E92" s="24"/>
      <c r="F92" s="25"/>
      <c r="G92" s="25"/>
      <c r="H92" s="25"/>
      <c r="I92" s="25"/>
      <c r="J92" s="25"/>
      <c r="K92" s="25"/>
      <c r="L92" s="25"/>
      <c r="M92" s="25"/>
      <c r="N92" s="25"/>
    </row>
    <row r="93" spans="5:14" ht="20.100000000000001" customHeight="1" x14ac:dyDescent="0.25">
      <c r="E93" s="24"/>
      <c r="F93" s="25"/>
      <c r="G93" s="25"/>
      <c r="H93" s="25"/>
      <c r="I93" s="25"/>
      <c r="J93" s="25"/>
      <c r="K93" s="25"/>
      <c r="L93" s="25"/>
      <c r="M93" s="25"/>
      <c r="N93" s="25"/>
    </row>
    <row r="94" spans="5:14" ht="20.100000000000001" customHeight="1" x14ac:dyDescent="0.25">
      <c r="E94" s="24"/>
      <c r="F94" s="25"/>
      <c r="G94" s="25"/>
      <c r="H94" s="25"/>
      <c r="I94" s="25"/>
      <c r="J94" s="25"/>
      <c r="K94" s="25"/>
      <c r="L94" s="25"/>
      <c r="M94" s="25"/>
      <c r="N94" s="25"/>
    </row>
    <row r="95" spans="5:14" ht="20.100000000000001" customHeight="1" x14ac:dyDescent="0.25">
      <c r="E95" s="24"/>
      <c r="F95" s="25"/>
      <c r="G95" s="25"/>
      <c r="H95" s="25"/>
      <c r="I95" s="25"/>
      <c r="J95" s="25"/>
      <c r="K95" s="25"/>
      <c r="L95" s="25"/>
      <c r="M95" s="25"/>
      <c r="N95" s="25"/>
    </row>
    <row r="96" spans="5:14" ht="20.100000000000001" customHeight="1" x14ac:dyDescent="0.25">
      <c r="E96" s="24"/>
      <c r="F96" s="25"/>
      <c r="G96" s="25"/>
      <c r="H96" s="25"/>
      <c r="I96" s="25"/>
      <c r="J96" s="48"/>
      <c r="K96" s="49"/>
      <c r="L96" s="50"/>
      <c r="M96" s="25"/>
      <c r="N96" s="25"/>
    </row>
    <row r="97" spans="5:14" ht="20.100000000000001" customHeight="1" x14ac:dyDescent="0.25">
      <c r="E97" s="24"/>
      <c r="F97" s="25"/>
      <c r="G97" s="25"/>
      <c r="H97" s="25"/>
      <c r="I97" s="25"/>
      <c r="J97" s="25"/>
      <c r="K97" s="25"/>
      <c r="L97" s="25"/>
      <c r="M97" s="25"/>
      <c r="N97" s="25"/>
    </row>
    <row r="98" spans="5:14" ht="20.100000000000001" customHeight="1" x14ac:dyDescent="0.25">
      <c r="E98" s="24"/>
      <c r="F98" s="25"/>
      <c r="G98" s="25"/>
      <c r="H98" s="25"/>
      <c r="I98" s="25"/>
      <c r="J98" s="25"/>
      <c r="K98" s="25"/>
      <c r="L98" s="25"/>
      <c r="M98" s="25"/>
      <c r="N98" s="25"/>
    </row>
    <row r="99" spans="5:14" x14ac:dyDescent="0.25">
      <c r="G99" s="20"/>
      <c r="H99" s="20"/>
      <c r="I99" s="20"/>
      <c r="M99" s="20"/>
      <c r="N99" s="20"/>
    </row>
    <row r="100" spans="5:14" x14ac:dyDescent="0.25">
      <c r="G100" s="20"/>
      <c r="H100" s="20"/>
      <c r="I100" s="20"/>
      <c r="M100" s="20"/>
      <c r="N100" s="20"/>
    </row>
    <row r="106" spans="5:14" x14ac:dyDescent="0.25">
      <c r="E106" s="24"/>
      <c r="J106" s="24"/>
    </row>
    <row r="109" spans="5:14" x14ac:dyDescent="0.25">
      <c r="G109" s="20"/>
      <c r="H109" s="20"/>
      <c r="I109" s="20"/>
      <c r="M109" s="20"/>
      <c r="N109" s="20"/>
    </row>
    <row r="110" spans="5:14" x14ac:dyDescent="0.25">
      <c r="G110" s="20"/>
      <c r="H110" s="20"/>
      <c r="I110" s="20"/>
      <c r="M110" s="20"/>
      <c r="N110" s="20"/>
    </row>
    <row r="111" spans="5:14" x14ac:dyDescent="0.25">
      <c r="G111" s="20"/>
      <c r="H111" s="20"/>
      <c r="I111" s="20"/>
      <c r="M111" s="20"/>
      <c r="N111" s="20"/>
    </row>
    <row r="112" spans="5:14" x14ac:dyDescent="0.25">
      <c r="G112" s="20"/>
      <c r="H112" s="20"/>
      <c r="I112" s="20"/>
      <c r="M112" s="20"/>
      <c r="N112" s="20"/>
    </row>
    <row r="113" spans="7:14" x14ac:dyDescent="0.25">
      <c r="G113" s="20"/>
      <c r="H113" s="20"/>
      <c r="I113" s="20"/>
      <c r="M113" s="20"/>
      <c r="N113" s="20"/>
    </row>
    <row r="114" spans="7:14" x14ac:dyDescent="0.25">
      <c r="G114" s="20"/>
      <c r="H114" s="20"/>
      <c r="I114" s="20"/>
      <c r="M114" s="20"/>
      <c r="N114" s="20"/>
    </row>
    <row r="115" spans="7:14" x14ac:dyDescent="0.25">
      <c r="G115" s="20"/>
      <c r="H115" s="20"/>
      <c r="I115" s="20"/>
      <c r="M115" s="20"/>
      <c r="N115" s="20"/>
    </row>
    <row r="116" spans="7:14" x14ac:dyDescent="0.25">
      <c r="G116" s="20"/>
      <c r="H116" s="20"/>
      <c r="I116" s="20"/>
      <c r="M116" s="20"/>
      <c r="N116" s="20"/>
    </row>
    <row r="117" spans="7:14" x14ac:dyDescent="0.25">
      <c r="G117" s="20"/>
      <c r="H117" s="20"/>
      <c r="I117" s="20"/>
      <c r="M117" s="20"/>
      <c r="N117" s="20"/>
    </row>
    <row r="118" spans="7:14" x14ac:dyDescent="0.25">
      <c r="G118" s="20"/>
      <c r="H118" s="20"/>
      <c r="I118" s="20"/>
      <c r="M118" s="20"/>
      <c r="N118" s="20"/>
    </row>
    <row r="119" spans="7:14" x14ac:dyDescent="0.25">
      <c r="G119" s="20"/>
      <c r="H119" s="20"/>
      <c r="I119" s="20"/>
      <c r="M119" s="20"/>
      <c r="N119" s="20"/>
    </row>
    <row r="120" spans="7:14" x14ac:dyDescent="0.25">
      <c r="G120" s="20"/>
      <c r="H120" s="20"/>
      <c r="I120" s="20"/>
      <c r="M120" s="20"/>
      <c r="N120" s="20"/>
    </row>
    <row r="121" spans="7:14" x14ac:dyDescent="0.25">
      <c r="G121" s="20"/>
      <c r="H121" s="20"/>
      <c r="I121" s="20"/>
      <c r="M121" s="20"/>
      <c r="N121" s="20"/>
    </row>
    <row r="122" spans="7:14" x14ac:dyDescent="0.25">
      <c r="G122" s="20"/>
      <c r="H122" s="20"/>
      <c r="I122" s="20"/>
      <c r="M122" s="20"/>
      <c r="N122" s="20"/>
    </row>
    <row r="136" spans="5:14" x14ac:dyDescent="0.25">
      <c r="E136" s="24"/>
    </row>
    <row r="138" spans="5:14" x14ac:dyDescent="0.25">
      <c r="E138" s="20"/>
      <c r="F138" s="20"/>
      <c r="G138" s="20"/>
      <c r="H138" s="20"/>
      <c r="I138" s="20"/>
      <c r="J138" s="20"/>
      <c r="K138" s="20"/>
      <c r="L138" s="20"/>
      <c r="M138" s="20"/>
      <c r="N138" s="20"/>
    </row>
    <row r="139" spans="5:14" x14ac:dyDescent="0.25">
      <c r="E139" s="20"/>
      <c r="F139" s="20"/>
      <c r="G139" s="20"/>
      <c r="H139" s="20"/>
      <c r="I139" s="20"/>
      <c r="J139" s="20"/>
      <c r="K139" s="20"/>
      <c r="L139" s="20"/>
      <c r="M139" s="20"/>
      <c r="N139" s="20"/>
    </row>
    <row r="140" spans="5:14" x14ac:dyDescent="0.25">
      <c r="E140" s="20"/>
      <c r="F140" s="20"/>
      <c r="G140" s="20"/>
      <c r="H140" s="20"/>
      <c r="I140" s="20"/>
      <c r="J140" s="20"/>
      <c r="K140" s="20"/>
      <c r="L140" s="20"/>
      <c r="M140" s="20"/>
      <c r="N140" s="20"/>
    </row>
    <row r="141" spans="5:14" x14ac:dyDescent="0.25">
      <c r="E141" s="20"/>
      <c r="F141" s="20"/>
      <c r="G141" s="20"/>
      <c r="H141" s="20"/>
      <c r="I141" s="20"/>
      <c r="J141" s="20"/>
      <c r="K141" s="20"/>
      <c r="L141" s="20"/>
      <c r="M141" s="20"/>
      <c r="N141" s="20"/>
    </row>
    <row r="142" spans="5:14" x14ac:dyDescent="0.25">
      <c r="E142" s="20"/>
      <c r="F142" s="20"/>
      <c r="G142" s="20"/>
      <c r="H142" s="20"/>
      <c r="I142" s="20"/>
      <c r="J142" s="20"/>
      <c r="K142" s="20"/>
      <c r="L142" s="20"/>
      <c r="M142" s="20"/>
      <c r="N142" s="20"/>
    </row>
    <row r="143" spans="5:14" x14ac:dyDescent="0.25">
      <c r="E143" s="20"/>
      <c r="F143" s="20"/>
      <c r="G143" s="20"/>
      <c r="H143" s="20"/>
      <c r="I143" s="20"/>
      <c r="J143" s="20"/>
      <c r="K143" s="20"/>
      <c r="L143" s="20"/>
      <c r="M143" s="20"/>
      <c r="N143" s="20"/>
    </row>
    <row r="144" spans="5:14" x14ac:dyDescent="0.25">
      <c r="E144" s="24"/>
      <c r="J144" s="24"/>
    </row>
    <row r="145" spans="5:14" x14ac:dyDescent="0.25">
      <c r="E145" s="24"/>
      <c r="J145" s="24"/>
    </row>
    <row r="147" spans="5:14" x14ac:dyDescent="0.25">
      <c r="G147" s="20"/>
      <c r="H147" s="20"/>
      <c r="I147" s="20"/>
      <c r="M147" s="20"/>
      <c r="N147" s="20"/>
    </row>
    <row r="148" spans="5:14" x14ac:dyDescent="0.25">
      <c r="G148" s="20"/>
      <c r="H148" s="20"/>
      <c r="I148" s="20"/>
      <c r="M148" s="20"/>
      <c r="N148" s="20"/>
    </row>
    <row r="149" spans="5:14" x14ac:dyDescent="0.25">
      <c r="G149" s="20"/>
      <c r="H149" s="20"/>
      <c r="I149" s="20"/>
      <c r="M149" s="20"/>
      <c r="N149" s="20"/>
    </row>
    <row r="150" spans="5:14" x14ac:dyDescent="0.25">
      <c r="G150" s="20"/>
      <c r="H150" s="20"/>
      <c r="I150" s="20"/>
      <c r="M150" s="20"/>
      <c r="N150" s="20"/>
    </row>
    <row r="151" spans="5:14" x14ac:dyDescent="0.25">
      <c r="G151" s="20"/>
      <c r="H151" s="20"/>
      <c r="I151" s="20"/>
      <c r="M151" s="20"/>
      <c r="N151" s="20"/>
    </row>
    <row r="152" spans="5:14" x14ac:dyDescent="0.25">
      <c r="G152" s="20"/>
      <c r="H152" s="20"/>
      <c r="I152" s="20"/>
      <c r="M152" s="20"/>
      <c r="N152" s="20"/>
    </row>
    <row r="153" spans="5:14" x14ac:dyDescent="0.25">
      <c r="G153" s="20"/>
      <c r="H153" s="20"/>
      <c r="I153" s="20"/>
      <c r="M153" s="20"/>
      <c r="N153" s="20"/>
    </row>
    <row r="154" spans="5:14" x14ac:dyDescent="0.25">
      <c r="G154" s="20"/>
      <c r="H154" s="20"/>
      <c r="I154" s="20"/>
      <c r="M154" s="20"/>
      <c r="N154" s="20"/>
    </row>
    <row r="155" spans="5:14" x14ac:dyDescent="0.25">
      <c r="G155" s="20"/>
      <c r="H155" s="20"/>
      <c r="I155" s="20"/>
      <c r="M155" s="20"/>
      <c r="N155" s="20"/>
    </row>
    <row r="156" spans="5:14" x14ac:dyDescent="0.25">
      <c r="G156" s="20"/>
      <c r="H156" s="20"/>
      <c r="I156" s="20"/>
      <c r="M156" s="20"/>
      <c r="N156" s="20"/>
    </row>
    <row r="157" spans="5:14" x14ac:dyDescent="0.25">
      <c r="G157" s="20"/>
      <c r="H157" s="20"/>
      <c r="I157" s="20"/>
      <c r="M157" s="20"/>
      <c r="N157" s="20"/>
    </row>
    <row r="158" spans="5:14" x14ac:dyDescent="0.25">
      <c r="G158" s="20"/>
      <c r="H158" s="20"/>
      <c r="I158" s="20"/>
      <c r="M158" s="20"/>
      <c r="N158" s="20"/>
    </row>
    <row r="159" spans="5:14" x14ac:dyDescent="0.25">
      <c r="G159" s="20"/>
      <c r="H159" s="20"/>
      <c r="I159" s="20"/>
      <c r="M159" s="20"/>
      <c r="N159" s="20"/>
    </row>
    <row r="160" spans="5:14" x14ac:dyDescent="0.25">
      <c r="G160" s="20"/>
      <c r="H160" s="20"/>
      <c r="I160" s="20"/>
      <c r="M160" s="20"/>
      <c r="N160" s="20"/>
    </row>
    <row r="166" spans="5:14" x14ac:dyDescent="0.25">
      <c r="E166" s="24"/>
      <c r="J166" s="24"/>
    </row>
    <row r="167" spans="5:14" x14ac:dyDescent="0.25">
      <c r="E167" s="24"/>
      <c r="J167" s="24"/>
    </row>
    <row r="169" spans="5:14" x14ac:dyDescent="0.25">
      <c r="G169" s="20"/>
      <c r="H169" s="20"/>
      <c r="I169" s="20"/>
      <c r="M169" s="20"/>
      <c r="N169" s="20"/>
    </row>
    <row r="170" spans="5:14" x14ac:dyDescent="0.25">
      <c r="G170" s="20"/>
      <c r="H170" s="20"/>
      <c r="I170" s="20"/>
      <c r="M170" s="20"/>
      <c r="N170" s="20"/>
    </row>
    <row r="171" spans="5:14" x14ac:dyDescent="0.25">
      <c r="G171" s="20"/>
      <c r="H171" s="20"/>
      <c r="I171" s="20"/>
      <c r="M171" s="20"/>
      <c r="N171" s="20"/>
    </row>
    <row r="172" spans="5:14" x14ac:dyDescent="0.25">
      <c r="G172" s="20"/>
      <c r="H172" s="20"/>
      <c r="I172" s="20"/>
      <c r="M172" s="20"/>
      <c r="N172" s="20"/>
    </row>
    <row r="173" spans="5:14" x14ac:dyDescent="0.25">
      <c r="G173" s="20"/>
      <c r="H173" s="20"/>
      <c r="I173" s="20"/>
      <c r="M173" s="20"/>
      <c r="N173" s="20"/>
    </row>
    <row r="174" spans="5:14" x14ac:dyDescent="0.25">
      <c r="G174" s="20"/>
      <c r="H174" s="20"/>
      <c r="I174" s="20"/>
      <c r="M174" s="20"/>
      <c r="N174" s="20"/>
    </row>
    <row r="175" spans="5:14" x14ac:dyDescent="0.25">
      <c r="G175" s="20"/>
      <c r="H175" s="20"/>
      <c r="I175" s="20"/>
      <c r="M175" s="20"/>
      <c r="N175" s="20"/>
    </row>
    <row r="176" spans="5:14" x14ac:dyDescent="0.25">
      <c r="G176" s="20"/>
      <c r="H176" s="20"/>
      <c r="I176" s="20"/>
      <c r="M176" s="20"/>
      <c r="N176" s="20"/>
    </row>
    <row r="177" spans="5:14" x14ac:dyDescent="0.25">
      <c r="G177" s="20"/>
      <c r="H177" s="20"/>
      <c r="I177" s="20"/>
      <c r="M177" s="20"/>
      <c r="N177" s="20"/>
    </row>
    <row r="178" spans="5:14" x14ac:dyDescent="0.25">
      <c r="G178" s="20"/>
      <c r="H178" s="20"/>
      <c r="I178" s="20"/>
      <c r="M178" s="20"/>
      <c r="N178" s="20"/>
    </row>
    <row r="179" spans="5:14" x14ac:dyDescent="0.25">
      <c r="G179" s="20"/>
      <c r="H179" s="20"/>
      <c r="I179" s="20"/>
      <c r="M179" s="20"/>
      <c r="N179" s="20"/>
    </row>
    <row r="180" spans="5:14" x14ac:dyDescent="0.25">
      <c r="G180" s="20"/>
      <c r="H180" s="20"/>
      <c r="I180" s="20"/>
      <c r="M180" s="20"/>
      <c r="N180" s="20"/>
    </row>
    <row r="181" spans="5:14" x14ac:dyDescent="0.25">
      <c r="G181" s="20"/>
      <c r="H181" s="20"/>
      <c r="I181" s="20"/>
      <c r="M181" s="20"/>
      <c r="N181" s="20"/>
    </row>
    <row r="182" spans="5:14" x14ac:dyDescent="0.25">
      <c r="G182" s="20"/>
      <c r="H182" s="20"/>
      <c r="I182" s="20"/>
      <c r="M182" s="20"/>
      <c r="N182" s="20"/>
    </row>
    <row r="187" spans="5:14" x14ac:dyDescent="0.25">
      <c r="E187" s="24"/>
    </row>
    <row r="196" spans="5:12" x14ac:dyDescent="0.25">
      <c r="E196" s="24"/>
    </row>
    <row r="200" spans="5:12" ht="15" customHeight="1" x14ac:dyDescent="0.25">
      <c r="I200" s="20"/>
      <c r="J200" s="20"/>
      <c r="K200" s="20"/>
      <c r="L200" s="20"/>
    </row>
    <row r="201" spans="5:12" x14ac:dyDescent="0.25">
      <c r="I201" s="20"/>
      <c r="J201" s="20"/>
      <c r="K201" s="20"/>
      <c r="L201" s="20"/>
    </row>
    <row r="202" spans="5:12" x14ac:dyDescent="0.25">
      <c r="I202" s="20"/>
      <c r="J202" s="20"/>
      <c r="K202" s="20"/>
      <c r="L202" s="20"/>
    </row>
    <row r="203" spans="5:12" x14ac:dyDescent="0.25">
      <c r="I203" s="20"/>
      <c r="J203" s="20"/>
      <c r="K203" s="20"/>
      <c r="L203" s="20"/>
    </row>
    <row r="204" spans="5:12" x14ac:dyDescent="0.25">
      <c r="I204" s="20"/>
      <c r="J204" s="20"/>
      <c r="K204" s="20"/>
      <c r="L204" s="20"/>
    </row>
    <row r="205" spans="5:12" x14ac:dyDescent="0.25">
      <c r="I205" s="20"/>
      <c r="J205" s="20"/>
      <c r="K205" s="20"/>
      <c r="L205" s="20"/>
    </row>
    <row r="206" spans="5:12" x14ac:dyDescent="0.25">
      <c r="I206" s="20"/>
      <c r="J206" s="20"/>
      <c r="K206" s="20"/>
      <c r="L206" s="20"/>
    </row>
  </sheetData>
  <sheetProtection algorithmName="SHA-512" hashValue="s7ozH81wruJJn91HKllIxIcZV3+/uDGoZrgjV/KmO9klernFuSzsVf+a6SnaCZzWpLx0SJyFamnDuHSBgl3/9w==" saltValue="1JO+PCYOglFY6fAEqQzudQ==" spinCount="100000" sheet="1" objects="1" scenarios="1"/>
  <mergeCells count="47">
    <mergeCell ref="E17:H17"/>
    <mergeCell ref="F1:I1"/>
    <mergeCell ref="J1:J2"/>
    <mergeCell ref="K1:L2"/>
    <mergeCell ref="F2:I2"/>
    <mergeCell ref="E10:H11"/>
    <mergeCell ref="I10:I11"/>
    <mergeCell ref="J10:J11"/>
    <mergeCell ref="K10:K11"/>
    <mergeCell ref="L10:L11"/>
    <mergeCell ref="E12:H12"/>
    <mergeCell ref="E13:H13"/>
    <mergeCell ref="E14:H14"/>
    <mergeCell ref="E15:H15"/>
    <mergeCell ref="E16:H16"/>
    <mergeCell ref="E26:H26"/>
    <mergeCell ref="E18:H18"/>
    <mergeCell ref="E19:H19"/>
    <mergeCell ref="E20:H21"/>
    <mergeCell ref="I20:I21"/>
    <mergeCell ref="L20:L21"/>
    <mergeCell ref="E22:H22"/>
    <mergeCell ref="E23:H23"/>
    <mergeCell ref="E24:H24"/>
    <mergeCell ref="E25:H25"/>
    <mergeCell ref="J20:J21"/>
    <mergeCell ref="K20:K21"/>
    <mergeCell ref="E29:H30"/>
    <mergeCell ref="I29:I30"/>
    <mergeCell ref="J29:J30"/>
    <mergeCell ref="K29:K30"/>
    <mergeCell ref="L29:L30"/>
    <mergeCell ref="E27:H28"/>
    <mergeCell ref="I27:I28"/>
    <mergeCell ref="J27:J28"/>
    <mergeCell ref="K27:K28"/>
    <mergeCell ref="L27:L28"/>
    <mergeCell ref="E44:J44"/>
    <mergeCell ref="K44:L44"/>
    <mergeCell ref="E48:L50"/>
    <mergeCell ref="E31:H31"/>
    <mergeCell ref="E32:H32"/>
    <mergeCell ref="E33:H33"/>
    <mergeCell ref="E34:H34"/>
    <mergeCell ref="E35:L39"/>
    <mergeCell ref="E43:J43"/>
    <mergeCell ref="K43:L43"/>
  </mergeCells>
  <printOptions horizontalCentered="1"/>
  <pageMargins left="0.70866141732283472" right="0.70866141732283472" top="0.78740157480314965" bottom="0.78740157480314965" header="0.31496062992125984" footer="0.31496062992125984"/>
  <pageSetup paperSize="9" scale="80" orientation="portrait" r:id="rId1"/>
  <rowBreaks count="1" manualBreakCount="1">
    <brk id="46" min="4" max="11"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'10'!$C$4:$C$8</xm:f>
          </x14:formula1>
          <xm:sqref>E44:J44</xm:sqref>
        </x14:dataValidation>
        <x14:dataValidation type="list" allowBlank="1" showInputMessage="1" showErrorMessage="1" xr:uid="{00000000-0002-0000-0100-000001000000}">
          <x14:formula1>
            <xm:f>'6'!$M$38:$M$41</xm:f>
          </x14:formula1>
          <xm:sqref>E10:H11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sheetPr>
  <dimension ref="A1:W684"/>
  <sheetViews>
    <sheetView showGridLines="0" showRowColHeaders="0" zoomScale="98" zoomScaleNormal="98" zoomScaleSheetLayoutView="80" workbookViewId="0">
      <selection activeCell="F1" sqref="F1:I1"/>
    </sheetView>
  </sheetViews>
  <sheetFormatPr baseColWidth="10" defaultColWidth="11.42578125" defaultRowHeight="15" x14ac:dyDescent="0.25"/>
  <cols>
    <col min="5" max="5" width="14.5703125" customWidth="1"/>
    <col min="6" max="6" width="13.42578125" customWidth="1"/>
    <col min="8" max="8" width="14.5703125" customWidth="1"/>
    <col min="9" max="9" width="14.140625" customWidth="1"/>
    <col min="10" max="10" width="13" customWidth="1"/>
    <col min="11" max="11" width="19.85546875" customWidth="1"/>
    <col min="12" max="12" width="16.85546875" customWidth="1"/>
    <col min="13" max="14" width="11.42578125" customWidth="1"/>
    <col min="15" max="16" width="11.42578125" hidden="1" customWidth="1"/>
    <col min="17" max="31" width="11.42578125" customWidth="1"/>
  </cols>
  <sheetData>
    <row r="1" spans="5:18" ht="21" x14ac:dyDescent="0.25">
      <c r="E1" s="1" t="s">
        <v>0</v>
      </c>
      <c r="F1" s="180" t="s">
        <v>377</v>
      </c>
      <c r="G1" s="180"/>
      <c r="H1" s="180"/>
      <c r="I1" s="180"/>
      <c r="J1" s="181">
        <f ca="1">TODAY()</f>
        <v>46231</v>
      </c>
      <c r="K1" s="183"/>
      <c r="L1" s="184"/>
    </row>
    <row r="2" spans="5:18" ht="21.75" thickBot="1" x14ac:dyDescent="0.3">
      <c r="E2" s="2" t="s">
        <v>1</v>
      </c>
      <c r="F2" s="187"/>
      <c r="G2" s="187"/>
      <c r="H2" s="187"/>
      <c r="I2" s="187"/>
      <c r="J2" s="182"/>
      <c r="K2" s="185"/>
      <c r="L2" s="186"/>
    </row>
    <row r="3" spans="5:18" ht="20.25" customHeight="1" x14ac:dyDescent="0.25">
      <c r="E3" s="3" t="s">
        <v>2</v>
      </c>
      <c r="F3" s="3"/>
      <c r="G3" s="3"/>
      <c r="H3" s="3"/>
      <c r="I3" s="3"/>
      <c r="J3" s="3"/>
      <c r="K3" s="3"/>
      <c r="L3" s="3"/>
    </row>
    <row r="4" spans="5:18" ht="20.25" customHeight="1" thickBot="1" x14ac:dyDescent="0.3">
      <c r="E4" s="3"/>
      <c r="F4" s="3"/>
      <c r="G4" s="3"/>
      <c r="H4" s="3"/>
      <c r="I4" s="6"/>
      <c r="K4" s="3"/>
      <c r="L4" s="3"/>
    </row>
    <row r="5" spans="5:18" ht="20.25" customHeight="1" thickBot="1" x14ac:dyDescent="0.3">
      <c r="E5" s="3" t="s">
        <v>3</v>
      </c>
      <c r="F5" s="3"/>
      <c r="G5" s="3"/>
      <c r="I5" s="4">
        <v>13</v>
      </c>
    </row>
    <row r="6" spans="5:18" ht="20.25" customHeight="1" x14ac:dyDescent="0.25">
      <c r="J6" s="6"/>
      <c r="L6" s="3"/>
    </row>
    <row r="7" spans="5:18" ht="20.25" customHeight="1" thickBot="1" x14ac:dyDescent="0.3">
      <c r="E7" s="3" t="s">
        <v>5</v>
      </c>
      <c r="F7" s="3"/>
      <c r="G7" s="3"/>
      <c r="H7" s="3" t="s">
        <v>141</v>
      </c>
    </row>
    <row r="8" spans="5:18" ht="20.25" customHeight="1" thickBot="1" x14ac:dyDescent="0.3">
      <c r="E8" s="188" t="s">
        <v>35</v>
      </c>
      <c r="F8" s="189"/>
      <c r="G8" s="190"/>
      <c r="H8" s="192" t="s">
        <v>24</v>
      </c>
      <c r="I8" s="193"/>
      <c r="K8" s="179" t="s">
        <v>273</v>
      </c>
      <c r="L8" s="179"/>
    </row>
    <row r="9" spans="5:18" ht="20.25" customHeight="1" x14ac:dyDescent="0.25">
      <c r="E9" s="33"/>
      <c r="F9" s="33"/>
      <c r="G9" s="33"/>
      <c r="H9" s="33"/>
      <c r="K9" s="179" t="s">
        <v>224</v>
      </c>
      <c r="L9" s="179"/>
      <c r="N9" s="107"/>
      <c r="O9" s="107"/>
      <c r="P9" s="107"/>
      <c r="Q9" s="107"/>
      <c r="R9" s="107"/>
    </row>
    <row r="10" spans="5:18" ht="20.25" customHeight="1" x14ac:dyDescent="0.35">
      <c r="E10" s="40" t="s">
        <v>142</v>
      </c>
      <c r="F10" s="6"/>
      <c r="G10" s="3"/>
      <c r="H10" s="40" t="s">
        <v>223</v>
      </c>
      <c r="I10" s="6"/>
      <c r="K10" s="5" t="s">
        <v>4</v>
      </c>
      <c r="N10" s="107"/>
      <c r="O10" s="108" t="s">
        <v>267</v>
      </c>
      <c r="P10" s="107" t="s">
        <v>268</v>
      </c>
      <c r="Q10" s="107"/>
      <c r="R10" s="107"/>
    </row>
    <row r="11" spans="5:18" ht="20.25" customHeight="1" x14ac:dyDescent="0.25">
      <c r="E11" s="178">
        <f>IFERROR(IF(E8='3'!C124,VLOOKUP('2'!H8,'3'!D3:M17,5,0),IF('2'!E8='3'!C125,VLOOKUP('2'!H8,'3'!D18:M30,5,0),IF('2'!E8='3'!C126,VLOOKUP('2'!H8,'3'!D31:M46,5,0),IF('2'!E8='3'!C127,VLOOKUP('2'!H8,'3'!D47:M59,5,0),IF('2'!E8='3'!C128,VLOOKUP('2'!H8,'3'!D60:M78,5,0),IF('2'!E8='3'!C129,VLOOKUP('2'!H8,'3'!D79:M92,5,0),"")))))),"nicht vorhanden")</f>
        <v>76</v>
      </c>
      <c r="F11" s="178"/>
      <c r="G11" s="3"/>
      <c r="H11" s="178">
        <f>IFERROR(IF(E8='3'!C124,VLOOKUP('2'!H8,'3'!D3:M17,3,0),IF('2'!E8='3'!C125,VLOOKUP('2'!H8,'3'!D18:M30,3,0),IF('2'!E8='3'!C126,VLOOKUP('2'!H8,'3'!D31:M46,3,0),IF('2'!E8='3'!C127,VLOOKUP('2'!H8,'3'!D47:M59,3,0),IF('2'!E8='3'!C128,VLOOKUP('2'!H8,'3'!D60:M78,3,0),IF('2'!E8='3'!C129,VLOOKUP('2'!H8,'3'!D79:M92,3,0),"")))))),"nicht vorhanden")</f>
        <v>83</v>
      </c>
      <c r="I11" s="178"/>
      <c r="K11" s="178">
        <f>IFERROR($I$5/($O$11*3600),"-")</f>
        <v>0.79642339730206058</v>
      </c>
      <c r="L11" s="178"/>
      <c r="N11" s="107"/>
      <c r="O11" s="108">
        <f>IFERROR(IF(E8='3'!C124,VLOOKUP('2'!H8,'3'!D3:M17,9,0),IF('2'!E8='3'!C125,VLOOKUP('2'!H8,'3'!D18:M30,9,0),IF('2'!E8='3'!C126,VLOOKUP('2'!H8,'3'!D31:M46,9,0),IF('2'!E8='3'!C127,VLOOKUP('2'!H8,'3'!D47:M59,9,0),IF('2'!E8='3'!C128,VLOOKUP('2'!H8,'3'!D60:M78,9,0),IF('2'!E8='3'!C129,VLOOKUP('2'!H8,'3'!D79:M92,9,0),"")))))),"nicht vorhanden")</f>
        <v>4.5341599999999998E-3</v>
      </c>
      <c r="P11" s="108">
        <f>IFERROR(IF(E8='3'!C124,VLOOKUP('2'!H8,'3'!D3:M17,6,0),IF('2'!E8='3'!C125,VLOOKUP('2'!H8,'3'!D18:M30,6,0),IF('2'!E8='3'!C126,VLOOKUP('2'!H8,'3'!D31:M46,6,0),IF('2'!E8='3'!C127,VLOOKUP('2'!H8,'3'!D47:M59,6,0),IF('2'!E8='3'!C128,VLOOKUP('2'!H8,'3'!D60:M78,6,0),IF('2'!E8='3'!C129,VLOOKUP('2'!H8,'3'!D79:M92,6,0),"")))))),"nicht vorhanden")</f>
        <v>4.53416</v>
      </c>
      <c r="Q11" s="107"/>
      <c r="R11" s="107"/>
    </row>
    <row r="12" spans="5:18" ht="20.25" customHeight="1" x14ac:dyDescent="0.25">
      <c r="N12" s="107"/>
      <c r="O12" s="107"/>
      <c r="P12" s="107"/>
      <c r="Q12" s="107"/>
      <c r="R12" s="107"/>
    </row>
    <row r="13" spans="5:18" ht="20.25" customHeight="1" x14ac:dyDescent="0.25">
      <c r="E13" s="40" t="s">
        <v>266</v>
      </c>
      <c r="H13" s="24"/>
      <c r="L13" s="111">
        <f>L22*(1/(E11/1000))*((K11^2)/(2*9.81))</f>
        <v>1.2548662561845836E-2</v>
      </c>
      <c r="N13" s="107"/>
      <c r="O13" s="107"/>
      <c r="P13" s="107"/>
      <c r="Q13" s="107"/>
      <c r="R13" s="107"/>
    </row>
    <row r="14" spans="5:18" ht="20.25" customHeight="1" thickBot="1" x14ac:dyDescent="0.3">
      <c r="N14" s="107"/>
      <c r="O14" s="107"/>
      <c r="P14" s="107"/>
      <c r="Q14" s="107"/>
      <c r="R14" s="107"/>
    </row>
    <row r="15" spans="5:18" ht="20.25" hidden="1" customHeight="1" x14ac:dyDescent="0.25">
      <c r="E15" s="3"/>
      <c r="F15" s="3"/>
      <c r="G15" s="3"/>
      <c r="H15" s="3"/>
      <c r="J15" s="3"/>
      <c r="K15" s="3"/>
      <c r="L15" s="6"/>
      <c r="N15" s="107"/>
      <c r="O15" s="107"/>
      <c r="P15" s="107"/>
      <c r="Q15" s="107"/>
      <c r="R15" s="107"/>
    </row>
    <row r="16" spans="5:18" ht="20.25" hidden="1" customHeight="1" x14ac:dyDescent="0.25">
      <c r="E16" s="33" t="s">
        <v>143</v>
      </c>
      <c r="F16" s="3" t="s">
        <v>144</v>
      </c>
      <c r="G16" s="3"/>
      <c r="H16" s="3"/>
      <c r="I16" s="3"/>
      <c r="J16" s="3"/>
      <c r="K16" s="3"/>
      <c r="L16" s="3"/>
      <c r="N16" s="107"/>
      <c r="O16" s="107"/>
      <c r="P16" s="107"/>
      <c r="Q16" s="107"/>
      <c r="R16" s="107"/>
    </row>
    <row r="17" spans="5:18" ht="20.25" hidden="1" customHeight="1" x14ac:dyDescent="0.25">
      <c r="E17" s="33" t="s">
        <v>145</v>
      </c>
      <c r="F17" s="3" t="s">
        <v>146</v>
      </c>
      <c r="G17" s="3"/>
      <c r="H17" s="3"/>
      <c r="I17" s="3"/>
      <c r="J17" s="3"/>
      <c r="K17" s="6"/>
      <c r="L17" s="3"/>
      <c r="N17" s="107"/>
      <c r="O17" s="107"/>
      <c r="P17" s="107"/>
      <c r="Q17" s="107"/>
      <c r="R17" s="107"/>
    </row>
    <row r="18" spans="5:18" ht="20.25" hidden="1" customHeight="1" x14ac:dyDescent="0.25">
      <c r="E18" s="33" t="s">
        <v>147</v>
      </c>
      <c r="F18" s="3" t="s">
        <v>148</v>
      </c>
      <c r="G18" s="3"/>
      <c r="H18" s="79"/>
      <c r="I18" s="3"/>
      <c r="J18" s="3"/>
      <c r="K18" s="3"/>
      <c r="L18" s="3"/>
      <c r="N18" s="107"/>
      <c r="O18" s="107"/>
      <c r="P18" s="107"/>
      <c r="Q18" s="107"/>
      <c r="R18" s="107"/>
    </row>
    <row r="19" spans="5:18" ht="20.25" hidden="1" customHeight="1" x14ac:dyDescent="0.25">
      <c r="E19" s="33" t="s">
        <v>149</v>
      </c>
      <c r="F19" s="3" t="s">
        <v>150</v>
      </c>
      <c r="K19" s="3"/>
      <c r="L19" s="3"/>
      <c r="N19" s="107"/>
      <c r="O19" s="107"/>
      <c r="P19" s="107"/>
      <c r="Q19" s="107"/>
      <c r="R19" s="107"/>
    </row>
    <row r="20" spans="5:18" ht="20.25" hidden="1" customHeight="1" x14ac:dyDescent="0.25">
      <c r="K20" s="3"/>
      <c r="L20" s="3"/>
    </row>
    <row r="21" spans="5:18" ht="20.25" hidden="1" customHeight="1" x14ac:dyDescent="0.25">
      <c r="K21" s="3"/>
      <c r="L21" s="3"/>
    </row>
    <row r="22" spans="5:18" ht="20.25" hidden="1" customHeight="1" x14ac:dyDescent="0.25">
      <c r="E22" s="80" t="s">
        <v>151</v>
      </c>
      <c r="F22" s="3" t="s">
        <v>152</v>
      </c>
      <c r="G22" s="3"/>
      <c r="H22" s="3"/>
      <c r="I22" s="6"/>
      <c r="J22" s="6"/>
      <c r="K22" s="81" t="s">
        <v>151</v>
      </c>
      <c r="L22" s="82">
        <f>H119</f>
        <v>2.9499999999999943E-2</v>
      </c>
    </row>
    <row r="23" spans="5:18" ht="20.25" hidden="1" customHeight="1" x14ac:dyDescent="0.25">
      <c r="E23" s="80" t="s">
        <v>153</v>
      </c>
      <c r="F23" s="3" t="s">
        <v>154</v>
      </c>
      <c r="G23" s="3"/>
      <c r="H23" s="3"/>
      <c r="I23" s="3"/>
      <c r="J23" s="3"/>
      <c r="K23" s="3"/>
      <c r="L23" s="3"/>
    </row>
    <row r="24" spans="5:18" ht="20.25" hidden="1" customHeight="1" x14ac:dyDescent="0.25">
      <c r="E24" s="83" t="s">
        <v>155</v>
      </c>
      <c r="F24" s="3" t="s">
        <v>4</v>
      </c>
      <c r="G24" s="3"/>
      <c r="H24" s="3"/>
      <c r="I24" s="3"/>
      <c r="J24" s="3"/>
      <c r="K24" s="3"/>
      <c r="L24" s="3"/>
    </row>
    <row r="25" spans="5:18" ht="20.25" hidden="1" customHeight="1" x14ac:dyDescent="0.25">
      <c r="E25" s="83" t="s">
        <v>156</v>
      </c>
      <c r="F25" s="3" t="s">
        <v>157</v>
      </c>
      <c r="G25" s="3"/>
      <c r="H25" s="3"/>
      <c r="I25" s="3"/>
      <c r="J25" s="3"/>
      <c r="K25" s="3"/>
      <c r="L25" s="3"/>
    </row>
    <row r="26" spans="5:18" ht="20.25" hidden="1" customHeight="1" x14ac:dyDescent="0.25">
      <c r="E26" s="83" t="s">
        <v>158</v>
      </c>
      <c r="F26" s="3" t="s">
        <v>159</v>
      </c>
      <c r="G26" s="3"/>
      <c r="H26" s="3"/>
      <c r="I26" s="3"/>
      <c r="J26" s="3"/>
      <c r="K26" s="3"/>
      <c r="L26" s="3"/>
    </row>
    <row r="27" spans="5:18" ht="20.25" hidden="1" customHeight="1" thickBot="1" x14ac:dyDescent="0.3">
      <c r="E27" s="83" t="s">
        <v>160</v>
      </c>
      <c r="F27" s="3" t="s">
        <v>161</v>
      </c>
      <c r="G27" s="3"/>
      <c r="H27" s="3"/>
      <c r="I27" s="3"/>
      <c r="J27" s="3"/>
      <c r="K27" s="3"/>
      <c r="L27" s="3"/>
    </row>
    <row r="28" spans="5:18" ht="20.25" hidden="1" customHeight="1" thickBot="1" x14ac:dyDescent="0.3">
      <c r="E28" s="33" t="s">
        <v>162</v>
      </c>
      <c r="F28" s="3" t="s">
        <v>163</v>
      </c>
      <c r="G28" s="3"/>
      <c r="H28" s="3"/>
      <c r="I28" s="6"/>
      <c r="J28" s="6"/>
      <c r="K28" s="33" t="s">
        <v>162</v>
      </c>
      <c r="L28" s="84">
        <v>0.25</v>
      </c>
    </row>
    <row r="29" spans="5:18" ht="20.25" hidden="1" customHeight="1" thickBot="1" x14ac:dyDescent="0.3"/>
    <row r="30" spans="5:18" ht="20.25" customHeight="1" thickBot="1" x14ac:dyDescent="0.3">
      <c r="E30" s="5" t="s">
        <v>164</v>
      </c>
      <c r="F30" s="3"/>
      <c r="G30" s="3"/>
      <c r="H30" s="3"/>
      <c r="I30" s="3"/>
      <c r="J30" s="3"/>
      <c r="K30" s="6"/>
      <c r="L30" s="69">
        <v>4</v>
      </c>
    </row>
    <row r="31" spans="5:18" ht="20.25" customHeight="1" x14ac:dyDescent="0.25"/>
    <row r="32" spans="5:18" ht="20.25" customHeight="1" x14ac:dyDescent="0.25">
      <c r="E32" s="3" t="s">
        <v>165</v>
      </c>
      <c r="F32" s="3"/>
      <c r="G32" s="3"/>
      <c r="H32" s="3"/>
      <c r="I32" s="3"/>
      <c r="J32" s="3"/>
      <c r="K32" s="5" t="s">
        <v>166</v>
      </c>
      <c r="L32" s="68">
        <f>$L$30*$L$13</f>
        <v>5.0194650247383343E-2</v>
      </c>
    </row>
    <row r="33" spans="5:12" ht="20.25" customHeight="1" x14ac:dyDescent="0.25"/>
    <row r="34" spans="5:12" ht="20.25" customHeight="1" thickBot="1" x14ac:dyDescent="0.3">
      <c r="E34" s="67" t="s">
        <v>167</v>
      </c>
      <c r="F34" s="6"/>
      <c r="G34" s="6"/>
      <c r="H34" s="6"/>
      <c r="I34" s="6"/>
      <c r="J34" s="6"/>
      <c r="K34" s="6"/>
      <c r="L34" s="6"/>
    </row>
    <row r="35" spans="5:12" ht="20.25" customHeight="1" x14ac:dyDescent="0.25">
      <c r="E35" s="202" t="s">
        <v>168</v>
      </c>
      <c r="F35" s="203"/>
      <c r="G35" s="203"/>
      <c r="H35" s="203"/>
      <c r="I35" s="85" t="s">
        <v>153</v>
      </c>
      <c r="J35" s="86" t="s">
        <v>54</v>
      </c>
      <c r="K35" s="85" t="s">
        <v>169</v>
      </c>
      <c r="L35" s="87" t="s">
        <v>170</v>
      </c>
    </row>
    <row r="36" spans="5:12" ht="20.25" customHeight="1" x14ac:dyDescent="0.25">
      <c r="E36" s="204" t="s">
        <v>171</v>
      </c>
      <c r="F36" s="205"/>
      <c r="G36" s="205"/>
      <c r="H36" s="205"/>
      <c r="I36" s="88">
        <v>0.3</v>
      </c>
      <c r="J36" s="89">
        <v>1</v>
      </c>
      <c r="K36" s="90">
        <f t="shared" ref="K36:K48" si="0">I36*J36</f>
        <v>0.3</v>
      </c>
      <c r="L36" s="91">
        <f>K36*(($K$11^2)/(2*9.81))</f>
        <v>9.698627335935104E-3</v>
      </c>
    </row>
    <row r="37" spans="5:12" ht="20.25" customHeight="1" x14ac:dyDescent="0.25">
      <c r="E37" s="204" t="s">
        <v>172</v>
      </c>
      <c r="F37" s="205"/>
      <c r="G37" s="205"/>
      <c r="H37" s="205"/>
      <c r="I37" s="88">
        <v>2.2000000000000002</v>
      </c>
      <c r="J37" s="89">
        <v>1</v>
      </c>
      <c r="K37" s="90">
        <f t="shared" si="0"/>
        <v>2.2000000000000002</v>
      </c>
      <c r="L37" s="91">
        <f t="shared" ref="L37:L48" si="1">K37*(($K$11^2)/(2*9.81))</f>
        <v>7.1123267130190779E-2</v>
      </c>
    </row>
    <row r="38" spans="5:12" ht="20.25" customHeight="1" x14ac:dyDescent="0.25">
      <c r="E38" s="194" t="s">
        <v>173</v>
      </c>
      <c r="F38" s="195"/>
      <c r="G38" s="195"/>
      <c r="H38" s="196"/>
      <c r="I38" s="88">
        <v>0.5</v>
      </c>
      <c r="J38" s="89">
        <v>3</v>
      </c>
      <c r="K38" s="90">
        <f t="shared" si="0"/>
        <v>1.5</v>
      </c>
      <c r="L38" s="91">
        <f t="shared" si="1"/>
        <v>4.8493136679675523E-2</v>
      </c>
    </row>
    <row r="39" spans="5:12" ht="20.25" customHeight="1" x14ac:dyDescent="0.25">
      <c r="E39" s="194" t="s">
        <v>174</v>
      </c>
      <c r="F39" s="195"/>
      <c r="G39" s="195"/>
      <c r="H39" s="196"/>
      <c r="I39" s="88">
        <v>0.3</v>
      </c>
      <c r="J39" s="89">
        <v>1</v>
      </c>
      <c r="K39" s="90">
        <f t="shared" si="0"/>
        <v>0.3</v>
      </c>
      <c r="L39" s="91">
        <f t="shared" si="1"/>
        <v>9.698627335935104E-3</v>
      </c>
    </row>
    <row r="40" spans="5:12" ht="20.25" customHeight="1" x14ac:dyDescent="0.25">
      <c r="E40" s="194" t="s">
        <v>175</v>
      </c>
      <c r="F40" s="195"/>
      <c r="G40" s="195"/>
      <c r="H40" s="196"/>
      <c r="I40" s="88">
        <v>1</v>
      </c>
      <c r="J40" s="89">
        <v>1</v>
      </c>
      <c r="K40" s="90">
        <f t="shared" si="0"/>
        <v>1</v>
      </c>
      <c r="L40" s="91">
        <f t="shared" si="1"/>
        <v>3.2328757786450349E-2</v>
      </c>
    </row>
    <row r="41" spans="5:12" ht="20.25" customHeight="1" x14ac:dyDescent="0.25">
      <c r="E41" s="92" t="s">
        <v>176</v>
      </c>
      <c r="F41" s="93"/>
      <c r="G41" s="93"/>
      <c r="H41" s="93"/>
      <c r="I41" s="88">
        <v>0.3</v>
      </c>
      <c r="J41" s="89"/>
      <c r="K41" s="90">
        <f t="shared" si="0"/>
        <v>0</v>
      </c>
      <c r="L41" s="91">
        <f t="shared" si="1"/>
        <v>0</v>
      </c>
    </row>
    <row r="42" spans="5:12" ht="20.25" customHeight="1" x14ac:dyDescent="0.25">
      <c r="E42" s="92" t="s">
        <v>177</v>
      </c>
      <c r="F42" s="93"/>
      <c r="G42" s="93"/>
      <c r="H42" s="93"/>
      <c r="I42" s="88">
        <v>0.5</v>
      </c>
      <c r="J42" s="89"/>
      <c r="K42" s="90">
        <f t="shared" si="0"/>
        <v>0</v>
      </c>
      <c r="L42" s="91">
        <f t="shared" si="1"/>
        <v>0</v>
      </c>
    </row>
    <row r="43" spans="5:12" ht="20.25" customHeight="1" x14ac:dyDescent="0.25">
      <c r="E43" s="92" t="s">
        <v>178</v>
      </c>
      <c r="F43" s="93"/>
      <c r="G43" s="93"/>
      <c r="H43" s="93"/>
      <c r="I43" s="88">
        <v>0.6</v>
      </c>
      <c r="J43" s="89"/>
      <c r="K43" s="90">
        <f t="shared" si="0"/>
        <v>0</v>
      </c>
      <c r="L43" s="91">
        <f t="shared" si="1"/>
        <v>0</v>
      </c>
    </row>
    <row r="44" spans="5:12" ht="20.25" customHeight="1" x14ac:dyDescent="0.25">
      <c r="E44" s="92" t="s">
        <v>179</v>
      </c>
      <c r="F44" s="93"/>
      <c r="G44" s="93"/>
      <c r="H44" s="93"/>
      <c r="I44" s="88">
        <v>1</v>
      </c>
      <c r="J44" s="89"/>
      <c r="K44" s="90">
        <f t="shared" si="0"/>
        <v>0</v>
      </c>
      <c r="L44" s="91">
        <f t="shared" si="1"/>
        <v>0</v>
      </c>
    </row>
    <row r="45" spans="5:12" ht="20.25" customHeight="1" x14ac:dyDescent="0.25">
      <c r="E45" s="194" t="s">
        <v>180</v>
      </c>
      <c r="F45" s="195"/>
      <c r="G45" s="195"/>
      <c r="H45" s="196"/>
      <c r="I45" s="88">
        <v>1.3</v>
      </c>
      <c r="J45" s="89"/>
      <c r="K45" s="90">
        <f t="shared" si="0"/>
        <v>0</v>
      </c>
      <c r="L45" s="91">
        <f t="shared" si="1"/>
        <v>0</v>
      </c>
    </row>
    <row r="46" spans="5:12" ht="20.25" customHeight="1" x14ac:dyDescent="0.25">
      <c r="E46" s="194" t="s">
        <v>181</v>
      </c>
      <c r="F46" s="195"/>
      <c r="G46" s="195"/>
      <c r="H46" s="196"/>
      <c r="I46" s="88">
        <v>0.3</v>
      </c>
      <c r="J46" s="89"/>
      <c r="K46" s="90">
        <f t="shared" si="0"/>
        <v>0</v>
      </c>
      <c r="L46" s="91">
        <f t="shared" si="1"/>
        <v>0</v>
      </c>
    </row>
    <row r="47" spans="5:12" ht="20.25" customHeight="1" x14ac:dyDescent="0.25">
      <c r="E47" s="197"/>
      <c r="F47" s="198"/>
      <c r="G47" s="198"/>
      <c r="H47" s="199"/>
      <c r="I47" s="89"/>
      <c r="J47" s="89"/>
      <c r="K47" s="90">
        <f t="shared" si="0"/>
        <v>0</v>
      </c>
      <c r="L47" s="91">
        <f t="shared" si="1"/>
        <v>0</v>
      </c>
    </row>
    <row r="48" spans="5:12" ht="20.25" customHeight="1" x14ac:dyDescent="0.25">
      <c r="E48" s="197"/>
      <c r="F48" s="198"/>
      <c r="G48" s="198"/>
      <c r="H48" s="199"/>
      <c r="I48" s="89"/>
      <c r="J48" s="89"/>
      <c r="K48" s="90">
        <f t="shared" si="0"/>
        <v>0</v>
      </c>
      <c r="L48" s="91">
        <f t="shared" si="1"/>
        <v>0</v>
      </c>
    </row>
    <row r="49" spans="5:12" ht="20.25" customHeight="1" thickBot="1" x14ac:dyDescent="0.3">
      <c r="E49" s="94" t="s">
        <v>182</v>
      </c>
      <c r="F49" s="95"/>
      <c r="G49" s="95"/>
      <c r="H49" s="95"/>
      <c r="I49" s="95"/>
      <c r="J49" s="95"/>
      <c r="K49" s="95"/>
      <c r="L49" s="96"/>
    </row>
    <row r="50" spans="5:12" ht="20.25" customHeight="1" x14ac:dyDescent="0.25">
      <c r="E50" s="3"/>
      <c r="F50" s="3"/>
      <c r="G50" s="3"/>
      <c r="H50" s="3"/>
      <c r="I50" s="33"/>
      <c r="J50" s="97" t="s">
        <v>169</v>
      </c>
      <c r="K50" s="98">
        <f>SUM(K36:K48)</f>
        <v>5.3</v>
      </c>
      <c r="L50" s="33"/>
    </row>
    <row r="51" spans="5:12" ht="20.25" customHeight="1" x14ac:dyDescent="0.25">
      <c r="E51" s="3" t="s">
        <v>225</v>
      </c>
      <c r="F51" s="3"/>
      <c r="G51" s="3"/>
      <c r="H51" s="3"/>
      <c r="I51" s="3"/>
      <c r="J51" s="3"/>
      <c r="K51" s="99" t="s">
        <v>183</v>
      </c>
      <c r="L51" s="68">
        <f>SUM(L36:L46)</f>
        <v>0.17134241626818686</v>
      </c>
    </row>
    <row r="52" spans="5:12" ht="20.25" customHeight="1" x14ac:dyDescent="0.25">
      <c r="G52" s="3"/>
      <c r="H52" s="3"/>
      <c r="I52" s="3"/>
      <c r="J52" s="3"/>
      <c r="K52" s="3"/>
      <c r="L52" s="3"/>
    </row>
    <row r="53" spans="5:12" ht="20.25" customHeight="1" x14ac:dyDescent="0.25">
      <c r="E53" s="3" t="s">
        <v>184</v>
      </c>
      <c r="F53" s="3"/>
      <c r="G53" s="3"/>
      <c r="H53" s="3"/>
      <c r="J53" s="3"/>
      <c r="K53" s="3" t="s">
        <v>185</v>
      </c>
      <c r="L53" s="68">
        <f>L32+L51</f>
        <v>0.2215370665155702</v>
      </c>
    </row>
    <row r="54" spans="5:12" ht="20.25" customHeight="1" x14ac:dyDescent="0.25">
      <c r="E54" s="3"/>
      <c r="F54" s="3"/>
      <c r="G54" s="3"/>
      <c r="H54" s="3"/>
      <c r="I54" s="3"/>
      <c r="J54" s="3"/>
      <c r="K54" s="3"/>
      <c r="L54" s="3"/>
    </row>
    <row r="55" spans="5:12" ht="20.25" customHeight="1" x14ac:dyDescent="0.25">
      <c r="G55" s="6"/>
      <c r="H55" s="6"/>
      <c r="I55" s="6"/>
      <c r="J55" s="6"/>
    </row>
    <row r="56" spans="5:12" ht="20.25" customHeight="1" x14ac:dyDescent="0.25">
      <c r="G56" s="6"/>
      <c r="H56" s="6"/>
      <c r="I56" s="6"/>
      <c r="J56" s="6"/>
    </row>
    <row r="57" spans="5:12" ht="20.25" customHeight="1" x14ac:dyDescent="0.25">
      <c r="G57" s="6"/>
      <c r="H57" s="6"/>
      <c r="I57" s="6"/>
      <c r="J57" s="6"/>
    </row>
    <row r="58" spans="5:12" ht="20.25" customHeight="1" x14ac:dyDescent="0.25">
      <c r="G58" s="6"/>
      <c r="H58" s="6"/>
      <c r="I58" s="6"/>
      <c r="J58" s="6"/>
    </row>
    <row r="59" spans="5:12" ht="20.25" customHeight="1" x14ac:dyDescent="0.25">
      <c r="G59" s="6"/>
      <c r="H59" s="6"/>
      <c r="I59" s="6"/>
      <c r="J59" s="6"/>
    </row>
    <row r="60" spans="5:12" ht="20.25" customHeight="1" thickBot="1" x14ac:dyDescent="0.3">
      <c r="G60" s="6"/>
      <c r="H60" s="6"/>
      <c r="I60" s="6"/>
      <c r="J60" s="6"/>
    </row>
    <row r="61" spans="5:12" ht="20.25" customHeight="1" thickBot="1" x14ac:dyDescent="0.3">
      <c r="G61" s="6"/>
      <c r="H61" s="40" t="s">
        <v>226</v>
      </c>
      <c r="I61" s="6"/>
      <c r="J61" s="6"/>
      <c r="K61" s="3" t="s">
        <v>227</v>
      </c>
      <c r="L61" s="69">
        <v>3</v>
      </c>
    </row>
    <row r="62" spans="5:12" ht="20.25" customHeight="1" x14ac:dyDescent="0.25">
      <c r="G62" s="6"/>
      <c r="H62" s="6"/>
      <c r="I62" s="6"/>
      <c r="J62" s="6"/>
    </row>
    <row r="63" spans="5:12" ht="20.25" customHeight="1" x14ac:dyDescent="0.25">
      <c r="G63" s="6"/>
      <c r="H63" s="6"/>
      <c r="I63" s="6"/>
      <c r="J63" s="6"/>
    </row>
    <row r="64" spans="5:12" ht="20.25" customHeight="1" x14ac:dyDescent="0.25">
      <c r="G64" s="6"/>
      <c r="H64" s="6"/>
      <c r="I64" s="6"/>
      <c r="J64" s="6"/>
    </row>
    <row r="65" spans="5:12" ht="20.25" customHeight="1" x14ac:dyDescent="0.25">
      <c r="G65" s="6"/>
      <c r="H65" s="6"/>
      <c r="I65" s="6"/>
      <c r="J65" s="6"/>
    </row>
    <row r="66" spans="5:12" ht="20.25" customHeight="1" x14ac:dyDescent="0.25">
      <c r="G66" s="6"/>
      <c r="H66" s="6"/>
      <c r="I66" s="6"/>
      <c r="J66" s="6"/>
    </row>
    <row r="67" spans="5:12" ht="20.25" customHeight="1" x14ac:dyDescent="0.25">
      <c r="G67" s="6"/>
      <c r="H67" s="6"/>
      <c r="I67" s="6"/>
      <c r="J67" s="6"/>
    </row>
    <row r="68" spans="5:12" ht="20.25" customHeight="1" thickBot="1" x14ac:dyDescent="0.3">
      <c r="G68" s="6"/>
      <c r="H68" s="6"/>
      <c r="I68" s="6"/>
      <c r="J68" s="6"/>
    </row>
    <row r="69" spans="5:12" ht="20.25" customHeight="1" thickBot="1" x14ac:dyDescent="0.4">
      <c r="E69" s="40" t="s">
        <v>186</v>
      </c>
      <c r="K69" s="40" t="s">
        <v>187</v>
      </c>
      <c r="L69" s="66">
        <f>L61+L53</f>
        <v>3.22153706651557</v>
      </c>
    </row>
    <row r="70" spans="5:12" ht="20.25" customHeight="1" x14ac:dyDescent="0.25">
      <c r="G70" s="6"/>
      <c r="H70" s="6"/>
      <c r="I70" s="6"/>
      <c r="J70" s="6"/>
    </row>
    <row r="71" spans="5:12" ht="20.25" customHeight="1" thickBot="1" x14ac:dyDescent="0.3">
      <c r="E71" s="3"/>
      <c r="F71" s="3"/>
      <c r="G71" s="3"/>
      <c r="H71" s="3"/>
      <c r="I71" s="3"/>
      <c r="J71" s="3"/>
      <c r="K71" s="3"/>
      <c r="L71" s="3"/>
    </row>
    <row r="72" spans="5:12" ht="20.25" customHeight="1" thickBot="1" x14ac:dyDescent="0.3">
      <c r="E72" s="3" t="s">
        <v>373</v>
      </c>
      <c r="F72" s="3"/>
      <c r="G72" s="3"/>
      <c r="H72" s="3"/>
      <c r="I72" s="3"/>
      <c r="J72" s="3"/>
      <c r="K72" s="188" t="s">
        <v>112</v>
      </c>
      <c r="L72" s="190"/>
    </row>
    <row r="73" spans="5:12" ht="20.25" customHeight="1" x14ac:dyDescent="0.25">
      <c r="F73" s="3"/>
      <c r="G73" s="3"/>
      <c r="H73" s="3"/>
      <c r="I73" s="3"/>
      <c r="J73" s="3"/>
      <c r="K73" s="3"/>
      <c r="L73" s="3"/>
    </row>
    <row r="74" spans="5:12" ht="20.25" customHeight="1" x14ac:dyDescent="0.25">
      <c r="E74" s="3"/>
      <c r="F74" s="3"/>
      <c r="G74" s="3"/>
      <c r="H74" s="3"/>
      <c r="I74" s="3"/>
      <c r="J74" s="3"/>
      <c r="K74" s="3"/>
      <c r="L74" s="3"/>
    </row>
    <row r="75" spans="5:12" ht="20.25" customHeight="1" x14ac:dyDescent="0.25">
      <c r="E75" s="3"/>
      <c r="F75" s="3"/>
      <c r="G75" s="3"/>
      <c r="H75" s="3"/>
      <c r="I75" s="3"/>
      <c r="J75" s="3"/>
      <c r="K75" s="3"/>
      <c r="L75" s="3"/>
    </row>
    <row r="76" spans="5:12" ht="20.25" customHeight="1" x14ac:dyDescent="0.25">
      <c r="E76" s="3"/>
      <c r="F76" s="3"/>
      <c r="G76" s="3"/>
      <c r="H76" s="3"/>
      <c r="I76" s="3"/>
      <c r="J76" s="3"/>
      <c r="K76" s="3"/>
      <c r="L76" s="3"/>
    </row>
    <row r="77" spans="5:12" ht="20.25" customHeight="1" x14ac:dyDescent="0.25">
      <c r="E77" s="3"/>
      <c r="F77" s="3"/>
      <c r="G77" s="3"/>
      <c r="H77" s="3"/>
      <c r="I77" s="3"/>
      <c r="J77" s="3"/>
      <c r="K77" s="3"/>
      <c r="L77" s="3"/>
    </row>
    <row r="78" spans="5:12" ht="20.25" customHeight="1" x14ac:dyDescent="0.25">
      <c r="E78" s="3"/>
      <c r="F78" s="3"/>
      <c r="G78" s="3"/>
      <c r="H78" s="3"/>
      <c r="I78" s="3"/>
      <c r="J78" s="3"/>
      <c r="K78" s="3"/>
      <c r="L78" s="3"/>
    </row>
    <row r="79" spans="5:12" ht="20.25" customHeight="1" x14ac:dyDescent="0.25">
      <c r="E79" s="3"/>
      <c r="F79" s="3"/>
      <c r="G79" s="3"/>
      <c r="H79" s="3"/>
      <c r="I79" s="3"/>
      <c r="J79" s="3"/>
      <c r="K79" s="3"/>
      <c r="L79" s="3"/>
    </row>
    <row r="80" spans="5:12" ht="20.25" customHeight="1" x14ac:dyDescent="0.25">
      <c r="E80" s="3"/>
      <c r="F80" s="3"/>
      <c r="G80" s="3"/>
      <c r="H80" s="3"/>
      <c r="I80" s="3"/>
      <c r="J80" s="3"/>
      <c r="K80" s="3"/>
      <c r="L80" s="3"/>
    </row>
    <row r="81" spans="5:12" ht="20.25" customHeight="1" x14ac:dyDescent="0.25">
      <c r="E81" s="3"/>
      <c r="F81" s="3"/>
      <c r="G81" s="3"/>
      <c r="H81" s="3"/>
      <c r="I81" s="3"/>
      <c r="J81" s="3"/>
      <c r="K81" s="3"/>
      <c r="L81" s="3"/>
    </row>
    <row r="82" spans="5:12" ht="20.25" customHeight="1" x14ac:dyDescent="0.25">
      <c r="E82" s="3"/>
      <c r="F82" s="3"/>
      <c r="G82" s="3"/>
      <c r="H82" s="3"/>
      <c r="I82" s="3"/>
      <c r="J82" s="3"/>
      <c r="K82" s="3"/>
      <c r="L82" s="3"/>
    </row>
    <row r="83" spans="5:12" ht="20.25" customHeight="1" x14ac:dyDescent="0.25">
      <c r="E83" s="3"/>
      <c r="F83" s="3"/>
      <c r="G83" s="3"/>
      <c r="H83" s="3"/>
      <c r="I83" s="3"/>
      <c r="J83" s="3"/>
      <c r="K83" s="3"/>
      <c r="L83" s="3"/>
    </row>
    <row r="84" spans="5:12" ht="20.25" customHeight="1" x14ac:dyDescent="0.25">
      <c r="E84" s="3"/>
      <c r="F84" s="3"/>
      <c r="G84" s="3"/>
      <c r="H84" s="3"/>
      <c r="I84" s="3"/>
      <c r="J84" s="3"/>
      <c r="K84" s="3"/>
      <c r="L84" s="3"/>
    </row>
    <row r="85" spans="5:12" ht="20.25" customHeight="1" x14ac:dyDescent="0.25">
      <c r="E85" s="3"/>
      <c r="F85" s="3"/>
      <c r="G85" s="3"/>
      <c r="H85" s="3"/>
      <c r="I85" s="3"/>
      <c r="J85" s="3"/>
      <c r="K85" s="3"/>
      <c r="L85" s="3"/>
    </row>
    <row r="86" spans="5:12" ht="20.25" customHeight="1" x14ac:dyDescent="0.25">
      <c r="E86" s="3"/>
      <c r="F86" s="3"/>
      <c r="G86" s="3"/>
      <c r="H86" s="3"/>
      <c r="I86" s="3"/>
      <c r="J86" s="3"/>
      <c r="K86" s="3"/>
      <c r="L86" s="3"/>
    </row>
    <row r="87" spans="5:12" ht="20.25" customHeight="1" x14ac:dyDescent="0.25">
      <c r="E87" s="3"/>
      <c r="F87" s="3"/>
      <c r="G87" s="3"/>
      <c r="H87" s="3"/>
      <c r="I87" s="3"/>
      <c r="J87" s="3"/>
      <c r="K87" s="3"/>
      <c r="L87" s="3"/>
    </row>
    <row r="88" spans="5:12" ht="20.25" customHeight="1" x14ac:dyDescent="0.25">
      <c r="E88" s="3"/>
      <c r="F88" s="3"/>
      <c r="G88" s="3"/>
      <c r="H88" s="3"/>
      <c r="I88" s="3"/>
      <c r="J88" s="3"/>
      <c r="K88" s="3"/>
      <c r="L88" s="3"/>
    </row>
    <row r="89" spans="5:12" ht="20.25" customHeight="1" thickBot="1" x14ac:dyDescent="0.3">
      <c r="E89" s="3"/>
      <c r="F89" s="3"/>
      <c r="G89" s="3"/>
      <c r="H89" s="3"/>
      <c r="I89" s="3"/>
      <c r="J89" s="3"/>
      <c r="K89" s="3"/>
      <c r="L89" s="3"/>
    </row>
    <row r="90" spans="5:12" ht="20.25" customHeight="1" thickBot="1" x14ac:dyDescent="0.3">
      <c r="E90" s="33" t="s">
        <v>189</v>
      </c>
      <c r="F90" s="40" t="s">
        <v>272</v>
      </c>
      <c r="J90" s="3"/>
      <c r="L90" s="69">
        <v>26</v>
      </c>
    </row>
    <row r="91" spans="5:12" ht="20.25" customHeight="1" thickBot="1" x14ac:dyDescent="0.3"/>
    <row r="92" spans="5:12" ht="20.25" customHeight="1" thickBot="1" x14ac:dyDescent="0.3">
      <c r="E92" s="5" t="s">
        <v>190</v>
      </c>
      <c r="L92" s="69">
        <v>2</v>
      </c>
    </row>
    <row r="93" spans="5:12" ht="20.25" customHeight="1" x14ac:dyDescent="0.25"/>
    <row r="94" spans="5:12" ht="20.25" customHeight="1" x14ac:dyDescent="0.25">
      <c r="E94" s="3" t="s">
        <v>191</v>
      </c>
      <c r="L94" s="100">
        <f>VLOOKUP($K$72,Tabelle4[[Spalte2]:[Spalte11]],10,0)</f>
        <v>60</v>
      </c>
    </row>
    <row r="95" spans="5:12" ht="20.25" customHeight="1" thickBot="1" x14ac:dyDescent="0.3"/>
    <row r="96" spans="5:12" ht="33.75" customHeight="1" thickBot="1" x14ac:dyDescent="0.3">
      <c r="E96" s="200" t="s">
        <v>192</v>
      </c>
      <c r="F96" s="200"/>
      <c r="G96" s="200"/>
      <c r="H96" s="200"/>
      <c r="I96" s="200"/>
      <c r="J96" s="200"/>
      <c r="K96" s="201"/>
      <c r="L96" s="101">
        <f>P11*L30</f>
        <v>18.13664</v>
      </c>
    </row>
    <row r="97" spans="1:18" ht="20.25" customHeight="1" x14ac:dyDescent="0.25"/>
    <row r="98" spans="1:18" ht="20.25" customHeight="1" x14ac:dyDescent="0.25">
      <c r="E98" s="5" t="s">
        <v>193</v>
      </c>
      <c r="F98" s="33"/>
      <c r="G98" s="5"/>
      <c r="H98" s="33"/>
      <c r="I98" s="33"/>
      <c r="J98" s="33"/>
      <c r="K98" s="33"/>
      <c r="L98" s="68" t="str">
        <f>IF($K$72='5'!A10,'2'!I5/'2'!L90,IF($K$72='5'!A11,'2'!I5/'2'!L90,IF($K$72='5'!A12,'2'!I5/'2'!L90,IF($K$72='5'!A13,'2'!I5/'2'!L90,IF($K$72='5'!A14,'2'!I5/'2'!L90,IF($SK$72='5'!A15,'2'!I5/'2'!L90,"-"))))))</f>
        <v>-</v>
      </c>
      <c r="O98" s="3"/>
    </row>
    <row r="99" spans="1:18" ht="20.25" customHeight="1" x14ac:dyDescent="0.25">
      <c r="E99" s="33"/>
      <c r="F99" s="33"/>
      <c r="G99" s="5"/>
      <c r="H99" s="33"/>
      <c r="I99" s="33"/>
      <c r="J99" s="33"/>
      <c r="K99" s="33"/>
      <c r="L99" s="3"/>
    </row>
    <row r="100" spans="1:18" ht="20.25" customHeight="1" x14ac:dyDescent="0.25">
      <c r="E100" s="206" t="s">
        <v>194</v>
      </c>
      <c r="F100" s="206"/>
      <c r="G100" s="206"/>
      <c r="H100" s="206"/>
      <c r="I100" s="206"/>
      <c r="J100" s="206"/>
      <c r="K100" s="206"/>
      <c r="L100" s="206"/>
    </row>
    <row r="101" spans="1:18" ht="21" customHeight="1" x14ac:dyDescent="0.25">
      <c r="E101" s="206"/>
      <c r="F101" s="206"/>
      <c r="G101" s="206"/>
      <c r="H101" s="206"/>
      <c r="I101" s="206"/>
      <c r="J101" s="206"/>
      <c r="K101" s="206"/>
      <c r="L101" s="206"/>
    </row>
    <row r="102" spans="1:18" ht="23.25" customHeight="1" x14ac:dyDescent="0.25">
      <c r="E102" s="103"/>
      <c r="F102" s="103"/>
      <c r="G102" s="103"/>
      <c r="H102" s="103"/>
      <c r="I102" s="103"/>
      <c r="J102" s="103"/>
      <c r="K102" s="103"/>
      <c r="L102" s="102"/>
    </row>
    <row r="103" spans="1:18" ht="20.25" customHeight="1" x14ac:dyDescent="0.25">
      <c r="E103" s="191" t="s">
        <v>195</v>
      </c>
      <c r="F103" s="191"/>
      <c r="G103" s="93" t="s">
        <v>196</v>
      </c>
      <c r="H103" s="88"/>
      <c r="I103" s="88"/>
      <c r="J103" s="88"/>
      <c r="K103" s="88"/>
      <c r="L103" s="88" t="s">
        <v>197</v>
      </c>
    </row>
    <row r="104" spans="1:18" ht="20.25" customHeight="1" x14ac:dyDescent="0.25">
      <c r="E104" s="191"/>
      <c r="F104" s="191"/>
      <c r="G104" s="88" t="s">
        <v>198</v>
      </c>
      <c r="H104" s="88" t="s">
        <v>199</v>
      </c>
      <c r="I104" s="88" t="s">
        <v>200</v>
      </c>
      <c r="J104" s="88" t="s">
        <v>201</v>
      </c>
      <c r="K104" s="88" t="s">
        <v>202</v>
      </c>
      <c r="L104" s="104" t="s">
        <v>203</v>
      </c>
    </row>
    <row r="105" spans="1:18" ht="20.25" customHeight="1" x14ac:dyDescent="0.25">
      <c r="E105" s="105" t="str">
        <f>IF('4'!T13="","",IF('4'!T13&gt;0,'4'!$U$10,""))</f>
        <v>UZ1</v>
      </c>
      <c r="F105" s="40" t="str">
        <f>IFERROR(INDEX(Tabelle4[Spalte4],'4'!T13),"")</f>
        <v>.150</v>
      </c>
      <c r="G105" s="106">
        <f>IFERROR(INDEX(Tabelle4[Spalte5],'4'!$T13),"")</f>
        <v>57</v>
      </c>
      <c r="H105" s="106">
        <f>IFERROR(INDEX(Tabelle4[Spalte6],'4'!$T13),"")</f>
        <v>83</v>
      </c>
      <c r="I105" s="106" t="str">
        <f>IFERROR(INDEX(Tabelle4[Spalte7],'4'!$T13),"")</f>
        <v>-</v>
      </c>
      <c r="J105" s="106" t="str">
        <f>IFERROR(INDEX(Tabelle4[Spalte8],'4'!$T13),"")</f>
        <v>-</v>
      </c>
      <c r="K105" s="106">
        <f>IFERROR(INDEX(Tabelle4[Spalte9],'4'!$T13),"")</f>
        <v>91</v>
      </c>
      <c r="L105" s="118">
        <f>IFERROR(INDEX(Tabelle4[Spalte10],'4'!$T13),"")</f>
        <v>0.75</v>
      </c>
    </row>
    <row r="106" spans="1:18" ht="20.25" customHeight="1" x14ac:dyDescent="0.25">
      <c r="E106" s="105" t="str">
        <f>IF('4'!T14="","",IF('4'!T14&gt;0,'4'!$U$10,""))</f>
        <v/>
      </c>
      <c r="F106" s="40" t="str">
        <f>IFERROR(INDEX(Tabelle4[Spalte4],'4'!T14),"")</f>
        <v/>
      </c>
      <c r="G106" s="106" t="str">
        <f>IFERROR(INDEX(Tabelle4[Spalte5],'4'!$T14),"")</f>
        <v/>
      </c>
      <c r="H106" s="106" t="str">
        <f>IFERROR(INDEX(Tabelle4[Spalte6],'4'!$T14),"")</f>
        <v/>
      </c>
      <c r="I106" s="106" t="str">
        <f>IFERROR(INDEX(Tabelle4[Spalte7],'4'!$T14),"")</f>
        <v/>
      </c>
      <c r="J106" s="106" t="str">
        <f>IFERROR(INDEX(Tabelle4[Spalte8],'4'!$T14),"")</f>
        <v/>
      </c>
      <c r="K106" s="106" t="str">
        <f>IFERROR(INDEX(Tabelle4[Spalte9],'4'!$T14),"")</f>
        <v/>
      </c>
      <c r="L106" s="118" t="str">
        <f>IFERROR(INDEX(Tabelle4[Spalte10],'4'!$T14),"")</f>
        <v/>
      </c>
    </row>
    <row r="107" spans="1:18" ht="20.25" customHeight="1" x14ac:dyDescent="0.25">
      <c r="E107" s="105" t="str">
        <f>IF('4'!T15="","",IF('4'!T15&gt;0,'4'!$U$10,""))</f>
        <v/>
      </c>
      <c r="F107" s="40" t="str">
        <f>IFERROR(INDEX(Tabelle4[Spalte4],'4'!T15),"")</f>
        <v/>
      </c>
      <c r="G107" s="106" t="str">
        <f>IFERROR(INDEX(Tabelle4[Spalte5],'4'!$T15),"")</f>
        <v/>
      </c>
      <c r="H107" s="106" t="str">
        <f>IFERROR(INDEX(Tabelle4[Spalte6],'4'!$T15),"")</f>
        <v/>
      </c>
      <c r="I107" s="106" t="str">
        <f>IFERROR(INDEX(Tabelle4[Spalte7],'4'!$T15),"")</f>
        <v/>
      </c>
      <c r="J107" s="106" t="str">
        <f>IFERROR(INDEX(Tabelle4[Spalte8],'4'!$T15),"")</f>
        <v/>
      </c>
      <c r="K107" s="106" t="str">
        <f>IFERROR(INDEX(Tabelle4[Spalte9],'4'!$T15),"")</f>
        <v/>
      </c>
      <c r="L107" s="106" t="str">
        <f>IFERROR(INDEX(Tabelle4[Spalte10],'4'!$T15),"")</f>
        <v/>
      </c>
    </row>
    <row r="108" spans="1:18" ht="20.25" customHeight="1" x14ac:dyDescent="0.25">
      <c r="E108" s="105" t="str">
        <f>IF('4'!T16="","",IF('4'!T16&gt;0,'4'!$U$10,""))</f>
        <v/>
      </c>
      <c r="F108" s="40" t="str">
        <f>IFERROR(INDEX(Tabelle4[Spalte4],'4'!T16),"")</f>
        <v/>
      </c>
      <c r="G108" s="106" t="str">
        <f>IFERROR(INDEX(Tabelle4[Spalte5],'4'!$T16),"")</f>
        <v/>
      </c>
      <c r="H108" s="106" t="str">
        <f>IFERROR(INDEX(Tabelle4[Spalte6],'4'!$T16),"")</f>
        <v/>
      </c>
      <c r="I108" s="106" t="str">
        <f>IFERROR(INDEX(Tabelle4[Spalte7],'4'!$T16),"")</f>
        <v/>
      </c>
      <c r="J108" s="33" t="s">
        <v>211</v>
      </c>
      <c r="K108" s="33" t="s">
        <v>211</v>
      </c>
      <c r="L108" s="33" t="s">
        <v>211</v>
      </c>
    </row>
    <row r="109" spans="1:18" ht="20.25" customHeight="1" x14ac:dyDescent="0.25">
      <c r="A109" s="107"/>
      <c r="B109" s="175"/>
      <c r="C109" s="175"/>
      <c r="D109" s="175"/>
      <c r="E109" s="176"/>
      <c r="F109" s="177"/>
      <c r="G109" s="79"/>
      <c r="H109" s="79"/>
      <c r="I109" s="79"/>
      <c r="J109" s="79"/>
      <c r="K109" s="79"/>
      <c r="L109" s="79"/>
      <c r="M109" s="175"/>
      <c r="N109" s="175"/>
      <c r="O109" s="175"/>
      <c r="P109" s="175"/>
      <c r="Q109" s="175"/>
      <c r="R109" s="175"/>
    </row>
    <row r="110" spans="1:18" ht="20.25" customHeight="1" x14ac:dyDescent="0.25">
      <c r="A110" s="107"/>
      <c r="B110" s="175"/>
      <c r="C110" s="175"/>
      <c r="D110" s="175"/>
      <c r="E110" s="79"/>
      <c r="F110" s="79"/>
      <c r="G110" s="79"/>
      <c r="H110" s="79"/>
      <c r="I110" s="79"/>
      <c r="J110" s="79"/>
      <c r="K110" s="79"/>
      <c r="L110" s="79"/>
      <c r="M110" s="175"/>
      <c r="N110" s="175"/>
      <c r="O110" s="175"/>
      <c r="P110" s="175"/>
      <c r="Q110" s="175"/>
      <c r="R110" s="175"/>
    </row>
    <row r="111" spans="1:18" ht="20.25" customHeight="1" x14ac:dyDescent="0.25">
      <c r="A111" s="107"/>
      <c r="B111" s="175"/>
      <c r="C111" s="175"/>
      <c r="D111" s="175"/>
      <c r="E111" s="79"/>
      <c r="F111" s="79"/>
      <c r="G111" s="79"/>
      <c r="H111" s="79"/>
      <c r="I111" s="79"/>
      <c r="J111" s="79"/>
      <c r="K111" s="79"/>
      <c r="L111" s="79"/>
      <c r="M111" s="175"/>
      <c r="N111" s="175"/>
      <c r="O111" s="175"/>
      <c r="P111" s="175"/>
      <c r="Q111" s="175"/>
      <c r="R111" s="175"/>
    </row>
    <row r="112" spans="1:18" ht="20.25" customHeight="1" x14ac:dyDescent="0.25">
      <c r="A112" s="107"/>
      <c r="B112" s="175"/>
      <c r="C112" s="175"/>
      <c r="D112" s="175"/>
      <c r="E112" s="79"/>
      <c r="F112" s="79"/>
      <c r="G112" s="79"/>
      <c r="H112" s="79"/>
      <c r="I112" s="79"/>
      <c r="J112" s="79"/>
      <c r="K112" s="79"/>
      <c r="L112" s="79"/>
      <c r="M112" s="175"/>
      <c r="N112" s="175"/>
      <c r="O112" s="175"/>
      <c r="P112" s="175"/>
      <c r="Q112" s="175"/>
      <c r="R112" s="175"/>
    </row>
    <row r="113" spans="1:23" s="119" customFormat="1" ht="20.25" customHeight="1" x14ac:dyDescent="0.25">
      <c r="A113" s="107"/>
      <c r="B113" s="175"/>
      <c r="C113" s="175"/>
      <c r="D113" s="175"/>
      <c r="E113" s="79"/>
      <c r="F113" s="79"/>
      <c r="G113" s="79"/>
      <c r="H113" s="79"/>
      <c r="I113" s="79"/>
      <c r="J113" s="79"/>
      <c r="K113" s="79"/>
      <c r="L113" s="79"/>
      <c r="M113" s="175"/>
      <c r="N113" s="175"/>
      <c r="O113" s="175"/>
      <c r="P113" s="175"/>
      <c r="Q113" s="175"/>
      <c r="R113" s="175"/>
    </row>
    <row r="114" spans="1:23" s="119" customFormat="1" ht="20.25" customHeight="1" x14ac:dyDescent="0.25">
      <c r="A114" s="107"/>
      <c r="B114" s="175"/>
      <c r="C114" s="175"/>
      <c r="D114" s="175"/>
      <c r="E114" s="79"/>
      <c r="F114" s="79"/>
      <c r="G114" s="79"/>
      <c r="H114" s="79"/>
      <c r="I114" s="79"/>
      <c r="J114" s="79"/>
      <c r="K114" s="79"/>
      <c r="L114" s="79"/>
      <c r="M114" s="175"/>
      <c r="N114" s="175"/>
      <c r="O114" s="175"/>
      <c r="P114" s="175"/>
      <c r="Q114" s="175"/>
      <c r="R114" s="175"/>
      <c r="S114" s="107"/>
      <c r="T114" s="107"/>
      <c r="U114" s="107"/>
      <c r="V114" s="107"/>
      <c r="W114" s="107"/>
    </row>
    <row r="115" spans="1:23" s="119" customFormat="1" ht="20.25" customHeight="1" x14ac:dyDescent="0.25">
      <c r="E115" s="126"/>
      <c r="F115" s="126"/>
      <c r="G115" s="126"/>
      <c r="H115" s="126"/>
      <c r="I115" s="119" t="s">
        <v>188</v>
      </c>
      <c r="J115" s="120"/>
      <c r="K115" s="120"/>
      <c r="L115" s="123"/>
      <c r="M115" s="120"/>
      <c r="N115" s="120"/>
    </row>
    <row r="116" spans="1:23" s="119" customFormat="1" ht="20.25" customHeight="1" x14ac:dyDescent="0.25">
      <c r="E116" s="126"/>
      <c r="F116" s="126"/>
      <c r="G116" s="126"/>
      <c r="H116" s="126"/>
      <c r="I116" s="120" t="s">
        <v>205</v>
      </c>
      <c r="J116" s="120" t="s">
        <v>206</v>
      </c>
      <c r="K116" s="120" t="s">
        <v>207</v>
      </c>
      <c r="L116" s="120" t="s">
        <v>208</v>
      </c>
      <c r="M116" s="120" t="s">
        <v>209</v>
      </c>
      <c r="N116" s="168" t="s">
        <v>151</v>
      </c>
      <c r="O116" s="168" t="s">
        <v>210</v>
      </c>
    </row>
    <row r="117" spans="1:23" s="119" customFormat="1" ht="20.25" customHeight="1" x14ac:dyDescent="0.25">
      <c r="C117" s="169" t="s">
        <v>204</v>
      </c>
      <c r="D117" s="170">
        <f>($K$11*($E$11/1000))/'9'!$F$36</f>
        <v>46310.771380992046</v>
      </c>
      <c r="E117" s="126"/>
      <c r="F117" s="169" t="s">
        <v>269</v>
      </c>
      <c r="G117" s="169">
        <f>IFERROR(IF(E8='3'!C124,VLOOKUP('2'!H8,'3'!D3:M17,8,0),IF('2'!E8='3'!C125,VLOOKUP('2'!H8,'3'!D18:M30,8,0),IF('2'!E8='3'!C126,VLOOKUP('2'!H8,'3'!D31:M46,8,0),IF('2'!E8='3'!C127,VLOOKUP('2'!H8,'3'!D47:M59,8,0),IF('2'!E8='3'!C128,VLOOKUP('2'!H8,'3'!D60:M78,8,0),IF('2'!E8='3'!C129,VLOOKUP('2'!H8,'3'!D79:M92,8,0),"")))))),"nicht vorhanden")</f>
        <v>3.2894736842105261E-3</v>
      </c>
      <c r="I117" s="132">
        <f>(0.785*(O117^2)*M117)*3600</f>
        <v>0</v>
      </c>
      <c r="J117" s="121">
        <f t="shared" ref="J117:J134" si="2">K117+(N117*($L$30/O117)+$K$50)*((M117^2)/(2*9.81))</f>
        <v>3</v>
      </c>
      <c r="K117" s="132">
        <f>$L$61</f>
        <v>3</v>
      </c>
      <c r="L117" s="133">
        <f t="shared" ref="L117:L134" si="3">(N117*($L$30/O117)+$K$50)*((M117^2)/(2*9.81))</f>
        <v>0</v>
      </c>
      <c r="M117" s="120">
        <v>0</v>
      </c>
      <c r="N117" s="171">
        <f t="shared" ref="N117:N134" si="4">$L$22</f>
        <v>2.9499999999999943E-2</v>
      </c>
      <c r="O117" s="131">
        <f>$E$11/1000</f>
        <v>7.5999999999999998E-2</v>
      </c>
      <c r="S117" s="172"/>
    </row>
    <row r="118" spans="1:23" s="119" customFormat="1" ht="20.25" customHeight="1" x14ac:dyDescent="0.25">
      <c r="E118" s="126"/>
      <c r="F118" s="126"/>
      <c r="G118" s="126"/>
      <c r="H118" s="126"/>
      <c r="I118" s="132">
        <f t="shared" ref="I118:I134" si="5">(0.785*(O118^2)*M118)*3600</f>
        <v>11.426083199999999</v>
      </c>
      <c r="J118" s="121">
        <f t="shared" si="2"/>
        <v>3.1711411556413971</v>
      </c>
      <c r="K118" s="132">
        <f t="shared" ref="K118:K134" si="6">$L$61</f>
        <v>3</v>
      </c>
      <c r="L118" s="133">
        <f t="shared" si="3"/>
        <v>0.17114115564139695</v>
      </c>
      <c r="M118" s="120">
        <v>0.7</v>
      </c>
      <c r="N118" s="171">
        <f t="shared" si="4"/>
        <v>2.9499999999999943E-2</v>
      </c>
      <c r="O118" s="131">
        <f t="shared" ref="O118:O134" si="7">$E$11/1000</f>
        <v>7.5999999999999998E-2</v>
      </c>
      <c r="S118" s="172"/>
    </row>
    <row r="119" spans="1:23" s="119" customFormat="1" ht="20.25" customHeight="1" x14ac:dyDescent="0.25">
      <c r="C119" s="127" t="s">
        <v>215</v>
      </c>
      <c r="G119" s="173" t="s">
        <v>216</v>
      </c>
      <c r="H119" s="123">
        <f>INDEX(C121:C307,MATCH(MIN(F121:F307),F121:F307,0))</f>
        <v>2.9499999999999943E-2</v>
      </c>
      <c r="I119" s="132">
        <f t="shared" si="5"/>
        <v>13.058380799999998</v>
      </c>
      <c r="J119" s="121">
        <f t="shared" si="2"/>
        <v>3.2235313053275387</v>
      </c>
      <c r="K119" s="132">
        <f t="shared" si="6"/>
        <v>3</v>
      </c>
      <c r="L119" s="133">
        <f t="shared" si="3"/>
        <v>0.2235313053275389</v>
      </c>
      <c r="M119" s="120">
        <f t="shared" ref="M119:M134" si="8">M118+0.1</f>
        <v>0.79999999999999993</v>
      </c>
      <c r="N119" s="171">
        <f t="shared" si="4"/>
        <v>2.9499999999999943E-2</v>
      </c>
      <c r="O119" s="131">
        <f t="shared" si="7"/>
        <v>7.5999999999999998E-2</v>
      </c>
      <c r="S119" s="172"/>
    </row>
    <row r="120" spans="1:23" s="119" customFormat="1" ht="20.25" customHeight="1" x14ac:dyDescent="0.25">
      <c r="C120" s="120" t="s">
        <v>216</v>
      </c>
      <c r="D120" s="120" t="s">
        <v>212</v>
      </c>
      <c r="E120" s="120" t="s">
        <v>213</v>
      </c>
      <c r="F120" s="120" t="s">
        <v>217</v>
      </c>
      <c r="G120" s="126"/>
      <c r="H120" s="126"/>
      <c r="I120" s="132">
        <f t="shared" si="5"/>
        <v>14.690678399999996</v>
      </c>
      <c r="J120" s="121">
        <f t="shared" si="2"/>
        <v>3.2829068083051665</v>
      </c>
      <c r="K120" s="132">
        <f t="shared" si="6"/>
        <v>3</v>
      </c>
      <c r="L120" s="133">
        <f t="shared" si="3"/>
        <v>0.2829068083051664</v>
      </c>
      <c r="M120" s="120">
        <f t="shared" si="8"/>
        <v>0.89999999999999991</v>
      </c>
      <c r="N120" s="171">
        <f t="shared" si="4"/>
        <v>2.9499999999999943E-2</v>
      </c>
      <c r="O120" s="131">
        <f t="shared" si="7"/>
        <v>7.5999999999999998E-2</v>
      </c>
      <c r="S120" s="172"/>
    </row>
    <row r="121" spans="1:23" s="119" customFormat="1" ht="20.25" customHeight="1" x14ac:dyDescent="0.25">
      <c r="C121" s="120">
        <v>0.1</v>
      </c>
      <c r="D121" s="120">
        <f>1/SQRT(C121)</f>
        <v>3.1622776601683791</v>
      </c>
      <c r="E121" s="120">
        <f>-2*LOG10(((2.51/($D$117*SQRT(C121)))+(0.269*$G$117)))</f>
        <v>5.9524576101396089</v>
      </c>
      <c r="F121" s="120">
        <f t="shared" ref="F121:F152" si="9">ROUND(ABS(D121-E121),3)</f>
        <v>2.79</v>
      </c>
      <c r="G121" s="126"/>
      <c r="H121" s="126"/>
      <c r="I121" s="132">
        <f t="shared" si="5"/>
        <v>16.322975999999997</v>
      </c>
      <c r="J121" s="121">
        <f t="shared" si="2"/>
        <v>3.3492676645742794</v>
      </c>
      <c r="K121" s="132">
        <f t="shared" si="6"/>
        <v>3</v>
      </c>
      <c r="L121" s="133">
        <f t="shared" si="3"/>
        <v>0.34926766457427944</v>
      </c>
      <c r="M121" s="120">
        <f t="shared" si="8"/>
        <v>0.99999999999999989</v>
      </c>
      <c r="N121" s="171">
        <f t="shared" si="4"/>
        <v>2.9499999999999943E-2</v>
      </c>
      <c r="O121" s="131">
        <f t="shared" si="7"/>
        <v>7.5999999999999998E-2</v>
      </c>
      <c r="S121" s="172"/>
    </row>
    <row r="122" spans="1:23" s="119" customFormat="1" ht="20.25" customHeight="1" x14ac:dyDescent="0.25">
      <c r="C122" s="120">
        <f>C121-0.0005</f>
        <v>9.9500000000000005E-2</v>
      </c>
      <c r="D122" s="120">
        <f>1/SQRT(C122)</f>
        <v>3.1702131247412066</v>
      </c>
      <c r="E122" s="120">
        <f t="shared" ref="E122:E185" si="10">-2*LOG10(((2.51/($D$117*SQRT(C122)))+(0.269*$G$117)))</f>
        <v>5.9521040048350686</v>
      </c>
      <c r="F122" s="120">
        <f t="shared" si="9"/>
        <v>2.782</v>
      </c>
      <c r="G122" s="126"/>
      <c r="H122" s="126"/>
      <c r="I122" s="132">
        <f t="shared" si="5"/>
        <v>17.955273599999995</v>
      </c>
      <c r="J122" s="121">
        <f t="shared" si="2"/>
        <v>3.4226138741348784</v>
      </c>
      <c r="K122" s="132">
        <f t="shared" si="6"/>
        <v>3</v>
      </c>
      <c r="L122" s="133">
        <f t="shared" si="3"/>
        <v>0.42261387413487816</v>
      </c>
      <c r="M122" s="120">
        <f t="shared" si="8"/>
        <v>1.0999999999999999</v>
      </c>
      <c r="N122" s="171">
        <f t="shared" si="4"/>
        <v>2.9499999999999943E-2</v>
      </c>
      <c r="O122" s="131">
        <f t="shared" si="7"/>
        <v>7.5999999999999998E-2</v>
      </c>
      <c r="S122" s="172"/>
    </row>
    <row r="123" spans="1:23" s="119" customFormat="1" ht="20.25" customHeight="1" x14ac:dyDescent="0.25">
      <c r="C123" s="120">
        <f t="shared" ref="C123:C186" si="11">C122-0.0005</f>
        <v>9.9000000000000005E-2</v>
      </c>
      <c r="D123" s="120">
        <f t="shared" ref="D123:D186" si="12">1/SQRT(C123)</f>
        <v>3.1782086308186415</v>
      </c>
      <c r="E123" s="120">
        <f t="shared" si="10"/>
        <v>5.9517478696056836</v>
      </c>
      <c r="F123" s="120">
        <f t="shared" si="9"/>
        <v>2.774</v>
      </c>
      <c r="G123" s="126"/>
      <c r="H123" s="126"/>
      <c r="I123" s="132">
        <f t="shared" si="5"/>
        <v>19.587571199999999</v>
      </c>
      <c r="J123" s="121">
        <f t="shared" si="2"/>
        <v>3.5029454369869626</v>
      </c>
      <c r="K123" s="132">
        <f t="shared" si="6"/>
        <v>3</v>
      </c>
      <c r="L123" s="133">
        <f t="shared" si="3"/>
        <v>0.50294543698696248</v>
      </c>
      <c r="M123" s="120">
        <f t="shared" si="8"/>
        <v>1.2</v>
      </c>
      <c r="N123" s="171">
        <f t="shared" si="4"/>
        <v>2.9499999999999943E-2</v>
      </c>
      <c r="O123" s="131">
        <f t="shared" si="7"/>
        <v>7.5999999999999998E-2</v>
      </c>
      <c r="S123" s="172"/>
    </row>
    <row r="124" spans="1:23" s="119" customFormat="1" ht="20.25" customHeight="1" x14ac:dyDescent="0.25">
      <c r="C124" s="120">
        <f t="shared" si="11"/>
        <v>9.8500000000000004E-2</v>
      </c>
      <c r="D124" s="120">
        <f t="shared" si="12"/>
        <v>3.1862649393858304</v>
      </c>
      <c r="E124" s="120">
        <f t="shared" si="10"/>
        <v>5.9513891737464952</v>
      </c>
      <c r="F124" s="120">
        <f t="shared" si="9"/>
        <v>2.7650000000000001</v>
      </c>
      <c r="G124" s="126"/>
      <c r="H124" s="126"/>
      <c r="I124" s="132">
        <f t="shared" si="5"/>
        <v>21.2198688</v>
      </c>
      <c r="J124" s="121">
        <f t="shared" si="2"/>
        <v>3.5902623531305324</v>
      </c>
      <c r="K124" s="132">
        <f t="shared" si="6"/>
        <v>3</v>
      </c>
      <c r="L124" s="133">
        <f t="shared" si="3"/>
        <v>0.59026235313053255</v>
      </c>
      <c r="M124" s="120">
        <f t="shared" si="8"/>
        <v>1.3</v>
      </c>
      <c r="N124" s="171">
        <f t="shared" si="4"/>
        <v>2.9499999999999943E-2</v>
      </c>
      <c r="O124" s="131">
        <f t="shared" si="7"/>
        <v>7.5999999999999998E-2</v>
      </c>
      <c r="S124" s="172"/>
    </row>
    <row r="125" spans="1:23" s="119" customFormat="1" ht="20.25" customHeight="1" x14ac:dyDescent="0.25">
      <c r="C125" s="120">
        <f t="shared" si="11"/>
        <v>9.8000000000000004E-2</v>
      </c>
      <c r="D125" s="120">
        <f t="shared" si="12"/>
        <v>3.1943828249996993</v>
      </c>
      <c r="E125" s="120">
        <f t="shared" si="10"/>
        <v>5.9510278860244057</v>
      </c>
      <c r="F125" s="120">
        <f t="shared" si="9"/>
        <v>2.7570000000000001</v>
      </c>
      <c r="G125" s="126"/>
      <c r="H125" s="126"/>
      <c r="I125" s="132">
        <f t="shared" si="5"/>
        <v>22.852166400000002</v>
      </c>
      <c r="J125" s="121">
        <f t="shared" si="2"/>
        <v>3.6845646225655884</v>
      </c>
      <c r="K125" s="132">
        <f t="shared" si="6"/>
        <v>3</v>
      </c>
      <c r="L125" s="133">
        <f t="shared" si="3"/>
        <v>0.68456462256558814</v>
      </c>
      <c r="M125" s="120">
        <f t="shared" si="8"/>
        <v>1.4000000000000001</v>
      </c>
      <c r="N125" s="171">
        <f t="shared" si="4"/>
        <v>2.9499999999999943E-2</v>
      </c>
      <c r="O125" s="131">
        <f t="shared" si="7"/>
        <v>7.5999999999999998E-2</v>
      </c>
      <c r="S125" s="172"/>
    </row>
    <row r="126" spans="1:23" s="119" customFormat="1" ht="20.25" customHeight="1" x14ac:dyDescent="0.25">
      <c r="C126" s="120">
        <f t="shared" si="11"/>
        <v>9.7500000000000003E-2</v>
      </c>
      <c r="D126" s="120">
        <f t="shared" si="12"/>
        <v>3.2025630761017427</v>
      </c>
      <c r="E126" s="120">
        <f t="shared" si="10"/>
        <v>5.9506639746663836</v>
      </c>
      <c r="F126" s="120">
        <f t="shared" si="9"/>
        <v>2.7480000000000002</v>
      </c>
      <c r="G126" s="126"/>
      <c r="H126" s="126"/>
      <c r="I126" s="132">
        <f t="shared" si="5"/>
        <v>24.484464000000003</v>
      </c>
      <c r="J126" s="121">
        <f t="shared" si="2"/>
        <v>3.785852245292129</v>
      </c>
      <c r="K126" s="132">
        <f t="shared" si="6"/>
        <v>3</v>
      </c>
      <c r="L126" s="133">
        <f t="shared" si="3"/>
        <v>0.78585224529212927</v>
      </c>
      <c r="M126" s="120">
        <f t="shared" si="8"/>
        <v>1.5000000000000002</v>
      </c>
      <c r="N126" s="171">
        <f t="shared" si="4"/>
        <v>2.9499999999999943E-2</v>
      </c>
      <c r="O126" s="131">
        <f t="shared" si="7"/>
        <v>7.5999999999999998E-2</v>
      </c>
      <c r="S126" s="172"/>
    </row>
    <row r="127" spans="1:23" s="119" customFormat="1" ht="20.25" customHeight="1" x14ac:dyDescent="0.25">
      <c r="C127" s="120">
        <f t="shared" si="11"/>
        <v>9.7000000000000003E-2</v>
      </c>
      <c r="D127" s="120">
        <f t="shared" si="12"/>
        <v>3.2108064953396775</v>
      </c>
      <c r="E127" s="120">
        <f t="shared" si="10"/>
        <v>5.9502974073473469</v>
      </c>
      <c r="F127" s="120">
        <f t="shared" si="9"/>
        <v>2.7389999999999999</v>
      </c>
      <c r="G127" s="126"/>
      <c r="H127" s="126"/>
      <c r="I127" s="132">
        <f t="shared" si="5"/>
        <v>26.116761600000004</v>
      </c>
      <c r="J127" s="121">
        <f t="shared" si="2"/>
        <v>3.8941252213101558</v>
      </c>
      <c r="K127" s="132">
        <f t="shared" si="6"/>
        <v>3</v>
      </c>
      <c r="L127" s="133">
        <f t="shared" si="3"/>
        <v>0.89412522131015593</v>
      </c>
      <c r="M127" s="120">
        <f t="shared" si="8"/>
        <v>1.6000000000000003</v>
      </c>
      <c r="N127" s="171">
        <f t="shared" si="4"/>
        <v>2.9499999999999943E-2</v>
      </c>
      <c r="O127" s="131">
        <f t="shared" si="7"/>
        <v>7.5999999999999998E-2</v>
      </c>
      <c r="S127" s="172"/>
    </row>
    <row r="128" spans="1:23" s="119" customFormat="1" ht="20.25" customHeight="1" x14ac:dyDescent="0.25">
      <c r="C128" s="120">
        <f t="shared" si="11"/>
        <v>9.6500000000000002E-2</v>
      </c>
      <c r="D128" s="120">
        <f t="shared" si="12"/>
        <v>3.219113899898252</v>
      </c>
      <c r="E128" s="120">
        <f t="shared" si="10"/>
        <v>5.9499281511777049</v>
      </c>
      <c r="F128" s="120">
        <f t="shared" si="9"/>
        <v>2.7309999999999999</v>
      </c>
      <c r="G128" s="126"/>
      <c r="H128" s="126"/>
      <c r="I128" s="132">
        <f t="shared" si="5"/>
        <v>27.749059200000005</v>
      </c>
      <c r="J128" s="121">
        <f t="shared" si="2"/>
        <v>4.0093835506196687</v>
      </c>
      <c r="K128" s="132">
        <f t="shared" si="6"/>
        <v>3</v>
      </c>
      <c r="L128" s="133">
        <f t="shared" si="3"/>
        <v>1.0093835506196684</v>
      </c>
      <c r="M128" s="120">
        <f t="shared" si="8"/>
        <v>1.7000000000000004</v>
      </c>
      <c r="N128" s="171">
        <f t="shared" si="4"/>
        <v>2.9499999999999943E-2</v>
      </c>
      <c r="O128" s="131">
        <f t="shared" si="7"/>
        <v>7.5999999999999998E-2</v>
      </c>
      <c r="S128" s="172"/>
    </row>
    <row r="129" spans="3:19" s="119" customFormat="1" ht="20.25" customHeight="1" x14ac:dyDescent="0.25">
      <c r="C129" s="120">
        <f t="shared" si="11"/>
        <v>9.6000000000000002E-2</v>
      </c>
      <c r="D129" s="120">
        <f t="shared" si="12"/>
        <v>3.2274861218395139</v>
      </c>
      <c r="E129" s="120">
        <f t="shared" si="10"/>
        <v>5.9495561726905573</v>
      </c>
      <c r="F129" s="120">
        <f t="shared" si="9"/>
        <v>2.722</v>
      </c>
      <c r="G129" s="126"/>
      <c r="H129" s="126"/>
      <c r="I129" s="132">
        <f t="shared" si="5"/>
        <v>29.381356800000006</v>
      </c>
      <c r="J129" s="121">
        <f t="shared" si="2"/>
        <v>4.1316272332206658</v>
      </c>
      <c r="K129" s="132">
        <f t="shared" si="6"/>
        <v>3</v>
      </c>
      <c r="L129" s="133">
        <f t="shared" si="3"/>
        <v>1.1316272332206663</v>
      </c>
      <c r="M129" s="120">
        <f t="shared" si="8"/>
        <v>1.8000000000000005</v>
      </c>
      <c r="N129" s="171">
        <f t="shared" si="4"/>
        <v>2.9499999999999943E-2</v>
      </c>
      <c r="O129" s="131">
        <f t="shared" si="7"/>
        <v>7.5999999999999998E-2</v>
      </c>
      <c r="S129" s="172"/>
    </row>
    <row r="130" spans="3:19" s="119" customFormat="1" ht="20.25" customHeight="1" x14ac:dyDescent="0.25">
      <c r="C130" s="120">
        <f t="shared" si="11"/>
        <v>9.5500000000000002E-2</v>
      </c>
      <c r="D130" s="120">
        <f t="shared" si="12"/>
        <v>3.235924008452868</v>
      </c>
      <c r="E130" s="120">
        <f t="shared" si="10"/>
        <v>5.9491814378285355</v>
      </c>
      <c r="F130" s="120">
        <f t="shared" si="9"/>
        <v>2.7130000000000001</v>
      </c>
      <c r="G130" s="126"/>
      <c r="H130" s="126"/>
      <c r="I130" s="132">
        <f t="shared" si="5"/>
        <v>31.013654400000004</v>
      </c>
      <c r="J130" s="121">
        <f t="shared" si="2"/>
        <v>4.26085626911315</v>
      </c>
      <c r="K130" s="132">
        <f t="shared" si="6"/>
        <v>3</v>
      </c>
      <c r="L130" s="133">
        <f t="shared" si="3"/>
        <v>1.26085626911315</v>
      </c>
      <c r="M130" s="120">
        <f t="shared" si="8"/>
        <v>1.9000000000000006</v>
      </c>
      <c r="N130" s="171">
        <f t="shared" si="4"/>
        <v>2.9499999999999943E-2</v>
      </c>
      <c r="O130" s="131">
        <f t="shared" si="7"/>
        <v>7.5999999999999998E-2</v>
      </c>
      <c r="S130" s="172"/>
    </row>
    <row r="131" spans="3:19" s="119" customFormat="1" ht="20.25" customHeight="1" x14ac:dyDescent="0.25">
      <c r="C131" s="120">
        <f t="shared" si="11"/>
        <v>9.5000000000000001E-2</v>
      </c>
      <c r="D131" s="120">
        <f t="shared" si="12"/>
        <v>3.2444284226152509</v>
      </c>
      <c r="E131" s="120">
        <f t="shared" si="10"/>
        <v>5.9488039119302716</v>
      </c>
      <c r="F131" s="120">
        <f t="shared" si="9"/>
        <v>2.7040000000000002</v>
      </c>
      <c r="G131" s="126"/>
      <c r="H131" s="126"/>
      <c r="I131" s="132">
        <f t="shared" si="5"/>
        <v>32.645952000000001</v>
      </c>
      <c r="J131" s="121">
        <f t="shared" si="2"/>
        <v>4.3970706582971193</v>
      </c>
      <c r="K131" s="132">
        <f t="shared" si="6"/>
        <v>3</v>
      </c>
      <c r="L131" s="133">
        <f t="shared" si="3"/>
        <v>1.3970706582971189</v>
      </c>
      <c r="M131" s="120">
        <f t="shared" si="8"/>
        <v>2.0000000000000004</v>
      </c>
      <c r="N131" s="171">
        <f t="shared" si="4"/>
        <v>2.9499999999999943E-2</v>
      </c>
      <c r="O131" s="131">
        <f t="shared" si="7"/>
        <v>7.5999999999999998E-2</v>
      </c>
      <c r="S131" s="172"/>
    </row>
    <row r="132" spans="3:19" s="119" customFormat="1" ht="20.25" customHeight="1" x14ac:dyDescent="0.25">
      <c r="C132" s="120">
        <f t="shared" si="11"/>
        <v>9.4500000000000001E-2</v>
      </c>
      <c r="D132" s="120">
        <f t="shared" si="12"/>
        <v>3.253000243161777</v>
      </c>
      <c r="E132" s="120">
        <f t="shared" si="10"/>
        <v>5.9484235597164909</v>
      </c>
      <c r="F132" s="120">
        <f t="shared" si="9"/>
        <v>2.6949999999999998</v>
      </c>
      <c r="G132" s="126"/>
      <c r="H132" s="126"/>
      <c r="I132" s="132">
        <f t="shared" si="5"/>
        <v>34.278249600000002</v>
      </c>
      <c r="J132" s="121">
        <f t="shared" si="2"/>
        <v>4.5402704007725738</v>
      </c>
      <c r="K132" s="132">
        <f t="shared" si="6"/>
        <v>3</v>
      </c>
      <c r="L132" s="133">
        <f t="shared" si="3"/>
        <v>1.5402704007725736</v>
      </c>
      <c r="M132" s="120">
        <f t="shared" si="8"/>
        <v>2.1000000000000005</v>
      </c>
      <c r="N132" s="171">
        <f t="shared" si="4"/>
        <v>2.9499999999999943E-2</v>
      </c>
      <c r="O132" s="131">
        <f t="shared" si="7"/>
        <v>7.5999999999999998E-2</v>
      </c>
      <c r="S132" s="172"/>
    </row>
    <row r="133" spans="3:19" s="119" customFormat="1" ht="20.25" customHeight="1" x14ac:dyDescent="0.25">
      <c r="C133" s="120">
        <f t="shared" si="11"/>
        <v>9.4E-2</v>
      </c>
      <c r="D133" s="120">
        <f t="shared" si="12"/>
        <v>3.2616403652672115</v>
      </c>
      <c r="E133" s="120">
        <f t="shared" si="10"/>
        <v>5.9480403452756985</v>
      </c>
      <c r="F133" s="120">
        <f t="shared" si="9"/>
        <v>2.6859999999999999</v>
      </c>
      <c r="G133" s="126"/>
      <c r="H133" s="126"/>
      <c r="I133" s="132">
        <f t="shared" si="5"/>
        <v>35.910547200000011</v>
      </c>
      <c r="J133" s="121">
        <f t="shared" si="2"/>
        <v>4.6904554965395135</v>
      </c>
      <c r="K133" s="132">
        <f t="shared" si="6"/>
        <v>3</v>
      </c>
      <c r="L133" s="133">
        <f t="shared" si="3"/>
        <v>1.690455496539514</v>
      </c>
      <c r="M133" s="120">
        <f t="shared" si="8"/>
        <v>2.2000000000000006</v>
      </c>
      <c r="N133" s="171">
        <f t="shared" si="4"/>
        <v>2.9499999999999943E-2</v>
      </c>
      <c r="O133" s="131">
        <f t="shared" si="7"/>
        <v>7.5999999999999998E-2</v>
      </c>
      <c r="S133" s="172"/>
    </row>
    <row r="134" spans="3:19" s="119" customFormat="1" ht="20.25" customHeight="1" x14ac:dyDescent="0.25">
      <c r="C134" s="120">
        <f t="shared" si="11"/>
        <v>9.35E-2</v>
      </c>
      <c r="D134" s="120">
        <f t="shared" si="12"/>
        <v>3.2703497008386426</v>
      </c>
      <c r="E134" s="120">
        <f t="shared" si="10"/>
        <v>5.9476542320494712</v>
      </c>
      <c r="F134" s="120">
        <f t="shared" si="9"/>
        <v>2.677</v>
      </c>
      <c r="G134" s="126"/>
      <c r="H134" s="126"/>
      <c r="I134" s="132">
        <f t="shared" si="5"/>
        <v>37.542844800000012</v>
      </c>
      <c r="J134" s="121">
        <f t="shared" si="2"/>
        <v>4.8476259455979402</v>
      </c>
      <c r="K134" s="132">
        <f t="shared" si="6"/>
        <v>3</v>
      </c>
      <c r="L134" s="133">
        <f t="shared" si="3"/>
        <v>1.84762594559794</v>
      </c>
      <c r="M134" s="120">
        <f t="shared" si="8"/>
        <v>2.3000000000000007</v>
      </c>
      <c r="N134" s="171">
        <f t="shared" si="4"/>
        <v>2.9499999999999943E-2</v>
      </c>
      <c r="O134" s="131">
        <f t="shared" si="7"/>
        <v>7.5999999999999998E-2</v>
      </c>
      <c r="S134" s="172"/>
    </row>
    <row r="135" spans="3:19" s="119" customFormat="1" ht="20.25" customHeight="1" x14ac:dyDescent="0.25">
      <c r="C135" s="120">
        <f t="shared" si="11"/>
        <v>9.2999999999999999E-2</v>
      </c>
      <c r="D135" s="120">
        <f t="shared" si="12"/>
        <v>3.2791291789197645</v>
      </c>
      <c r="E135" s="120">
        <f t="shared" si="10"/>
        <v>5.9472651828173166</v>
      </c>
      <c r="F135" s="120">
        <f t="shared" si="9"/>
        <v>2.6680000000000001</v>
      </c>
      <c r="G135" s="126"/>
      <c r="H135" s="126"/>
      <c r="I135" s="126"/>
    </row>
    <row r="136" spans="3:19" s="119" customFormat="1" ht="20.25" customHeight="1" x14ac:dyDescent="0.25">
      <c r="C136" s="120">
        <f t="shared" si="11"/>
        <v>9.2499999999999999E-2</v>
      </c>
      <c r="D136" s="120">
        <f t="shared" si="12"/>
        <v>3.2879797461071463</v>
      </c>
      <c r="E136" s="120">
        <f t="shared" si="10"/>
        <v>5.9468731596810986</v>
      </c>
      <c r="F136" s="120">
        <f t="shared" si="9"/>
        <v>2.6589999999999998</v>
      </c>
      <c r="G136" s="126"/>
      <c r="H136" s="126"/>
      <c r="I136" s="126"/>
      <c r="Q136" s="123"/>
      <c r="R136" s="123"/>
    </row>
    <row r="137" spans="3:19" s="119" customFormat="1" ht="20.25" customHeight="1" x14ac:dyDescent="0.25">
      <c r="C137" s="120">
        <f t="shared" si="11"/>
        <v>9.1999999999999998E-2</v>
      </c>
      <c r="D137" s="120">
        <f t="shared" si="12"/>
        <v>3.2969023669789346</v>
      </c>
      <c r="E137" s="120">
        <f t="shared" si="10"/>
        <v>5.9464781240490145</v>
      </c>
      <c r="F137" s="120">
        <f t="shared" si="9"/>
        <v>2.65</v>
      </c>
      <c r="G137" s="126"/>
      <c r="H137" s="126"/>
      <c r="J137" s="119" t="s">
        <v>214</v>
      </c>
      <c r="M137" s="119" t="s">
        <v>271</v>
      </c>
      <c r="P137" s="120"/>
      <c r="Q137" s="121"/>
      <c r="R137" s="121"/>
      <c r="S137" s="121"/>
    </row>
    <row r="138" spans="3:19" s="119" customFormat="1" ht="20.25" customHeight="1" x14ac:dyDescent="0.25">
      <c r="C138" s="120">
        <f t="shared" si="11"/>
        <v>9.1499999999999998E-2</v>
      </c>
      <c r="D138" s="120">
        <f t="shared" si="12"/>
        <v>3.3058980245364316</v>
      </c>
      <c r="E138" s="120">
        <f t="shared" si="10"/>
        <v>5.9460800366190973</v>
      </c>
      <c r="F138" s="120">
        <f t="shared" si="9"/>
        <v>2.64</v>
      </c>
      <c r="G138" s="126"/>
      <c r="H138" s="126"/>
      <c r="J138" s="120" t="s">
        <v>114</v>
      </c>
      <c r="K138" s="120" t="s">
        <v>115</v>
      </c>
      <c r="M138" s="120" t="s">
        <v>114</v>
      </c>
      <c r="N138" s="120" t="s">
        <v>115</v>
      </c>
      <c r="P138" s="120"/>
      <c r="Q138" s="121"/>
      <c r="R138" s="121"/>
      <c r="S138" s="121"/>
    </row>
    <row r="139" spans="3:19" s="119" customFormat="1" ht="20.25" customHeight="1" x14ac:dyDescent="0.25">
      <c r="C139" s="120">
        <f t="shared" si="11"/>
        <v>9.0999999999999998E-2</v>
      </c>
      <c r="D139" s="120">
        <f t="shared" si="12"/>
        <v>3.3149677206589794</v>
      </c>
      <c r="E139" s="120">
        <f t="shared" si="10"/>
        <v>5.9456788573622443</v>
      </c>
      <c r="F139" s="120">
        <f t="shared" si="9"/>
        <v>2.6309999999999998</v>
      </c>
      <c r="G139" s="126"/>
      <c r="H139" s="126"/>
      <c r="I139" s="120">
        <v>1</v>
      </c>
      <c r="J139" s="120">
        <f>IF($K$72='5'!$A$3,'5'!A61,IF($K$72='5'!$A$4,'5'!A83,IF($K$72='5'!$A$5,'5'!A20,IF($K$72='5'!$A$6,'5'!A41,IF($K$72='5'!$A$7,'5'!A106,IF($K$72='5'!$A$8,'5'!A129,IF($K$72='5'!$A$9,'5'!A150,IF($K$72='5'!$A$10,'5'!A171,IF($K$72='5'!$A$11,'5'!A193,IF($K$72='5'!$A$12,'5'!A215,IF($K$72='5'!$A$13,'5'!A238,IF($K$72='5'!$A$14,'5'!A259,IF($K$72='5'!$A$15,'5'!A281,"")))))))))))))</f>
        <v>0</v>
      </c>
      <c r="K139" s="120">
        <f>IF($K$72='5'!$A$3,'5'!B61,IF($K$72='5'!$A$4,'5'!B83,IF($K$72='5'!$A$5,'5'!B20,IF($K$72='5'!$A$6,'5'!B41,IF($K$72='5'!$A$7,'5'!B106,IF($K$72='5'!$A$8,'5'!B129,IF($K$72='5'!$A$9,'5'!B150,IF($K$72='5'!$A$10,'5'!B171,IF($K$72='5'!$A$11,'5'!B193,IF($K$72='5'!$A$12,'5'!B215,IF($K$72='5'!$A$13,'5'!B238,IF($K$72='5'!$A$14,'5'!B259,IF($K$72='5'!$A$15,'5'!B281,"")))))))))))))</f>
        <v>11.9</v>
      </c>
      <c r="M139" s="120">
        <f>J139</f>
        <v>0</v>
      </c>
      <c r="N139" s="120">
        <f>K139</f>
        <v>11.9</v>
      </c>
      <c r="P139" s="120"/>
      <c r="Q139" s="121"/>
      <c r="R139" s="121"/>
      <c r="S139" s="121"/>
    </row>
    <row r="140" spans="3:19" s="119" customFormat="1" ht="20.25" customHeight="1" x14ac:dyDescent="0.25">
      <c r="C140" s="120">
        <f t="shared" si="11"/>
        <v>9.0499999999999997E-2</v>
      </c>
      <c r="D140" s="120">
        <f t="shared" si="12"/>
        <v>3.3241124765726684</v>
      </c>
      <c r="E140" s="120">
        <f t="shared" si="10"/>
        <v>5.9452745455047351</v>
      </c>
      <c r="F140" s="120">
        <f t="shared" si="9"/>
        <v>2.621</v>
      </c>
      <c r="G140" s="126"/>
      <c r="H140" s="126"/>
      <c r="I140" s="120">
        <v>2</v>
      </c>
      <c r="J140" s="120">
        <f>IF($K$72='5'!$A$3,'5'!A62,IF($K$72='5'!$A$4,'5'!A84,IF($K$72='5'!$A$5,'5'!A21,IF($K$72='5'!$A$6,'5'!A42,IF($K$72='5'!$A$7,'5'!A107,IF($K$72='5'!$A$8,'5'!A130,IF($K$72='5'!$A$9,'5'!A151,IF($K$72='5'!$A$10,'5'!A172,IF($K$72='5'!$A$11,'5'!A194,IF($K$72='5'!$A$12,'5'!A216,IF($K$72='5'!$A$13,'5'!A239,IF($K$72='5'!$A$14,'5'!A260,IF($K$72='5'!$A$15,'5'!A282,"")))))))))))))</f>
        <v>5</v>
      </c>
      <c r="K140" s="120">
        <f>IF($K$72='5'!$A$3,'5'!B62,IF($K$72='5'!$A$4,'5'!B84,IF($K$72='5'!$A$5,'5'!B21,IF($K$72='5'!$A$6,'5'!B42,IF($K$72='5'!$A$7,'5'!B107,IF($K$72='5'!$A$8,'5'!B130,IF($K$72='5'!$A$9,'5'!B151,IF($K$72='5'!$A$10,'5'!B172,IF($K$72='5'!$A$11,'5'!B194,IF($K$72='5'!$A$12,'5'!B216,IF($K$72='5'!$A$13,'5'!B239,IF($K$72='5'!$A$14,'5'!B260,IF($K$72='5'!$A$15,'5'!B282,"")))))))))))))</f>
        <v>10.5</v>
      </c>
      <c r="M140" s="120">
        <f>IF(J140=0,M139,J140)</f>
        <v>5</v>
      </c>
      <c r="N140" s="120">
        <f>IF(K140=0,N139,K140)</f>
        <v>10.5</v>
      </c>
      <c r="P140" s="120"/>
      <c r="Q140" s="121"/>
      <c r="R140" s="121"/>
      <c r="S140" s="121"/>
    </row>
    <row r="141" spans="3:19" s="119" customFormat="1" ht="20.25" customHeight="1" x14ac:dyDescent="0.25">
      <c r="C141" s="120">
        <f t="shared" si="11"/>
        <v>0.09</v>
      </c>
      <c r="D141" s="120">
        <f t="shared" si="12"/>
        <v>3.3333333333333335</v>
      </c>
      <c r="E141" s="120">
        <f t="shared" si="10"/>
        <v>5.944867059510238</v>
      </c>
      <c r="F141" s="120">
        <f t="shared" si="9"/>
        <v>2.6120000000000001</v>
      </c>
      <c r="G141" s="126"/>
      <c r="H141" s="126"/>
      <c r="I141" s="120">
        <f>I140+1</f>
        <v>3</v>
      </c>
      <c r="J141" s="120">
        <f>IF($K$72='5'!$A$3,'5'!A63,IF($K$72='5'!$A$4,'5'!A85,IF($K$72='5'!$A$5,'5'!A22,IF($K$72='5'!$A$6,'5'!A43,IF($K$72='5'!$A$7,'5'!A108,IF($K$72='5'!$A$8,'5'!A131,IF($K$72='5'!$A$9,'5'!A152,IF($K$72='5'!$A$10,'5'!A173,IF($K$72='5'!$A$11,'5'!A195,IF($K$72='5'!$A$12,'5'!A217,IF($K$72='5'!$A$13,'5'!A240,IF($K$72='5'!$A$14,'5'!A261,IF($K$72='5'!$A$15,'5'!A283,"")))))))))))))</f>
        <v>10</v>
      </c>
      <c r="K141" s="120">
        <f>IF($K$72='5'!$A$3,'5'!B63,IF($K$72='5'!$A$4,'5'!B85,IF($K$72='5'!$A$5,'5'!B22,IF($K$72='5'!$A$6,'5'!B43,IF($K$72='5'!$A$7,'5'!B108,IF($K$72='5'!$A$8,'5'!B131,IF($K$72='5'!$A$9,'5'!B152,IF($K$72='5'!$A$10,'5'!B173,IF($K$72='5'!$A$11,'5'!B195,IF($K$72='5'!$A$12,'5'!B217,IF($K$72='5'!$A$13,'5'!B240,IF($K$72='5'!$A$14,'5'!B261,IF($K$72='5'!$A$15,'5'!B283,"")))))))))))))</f>
        <v>8.8000000000000007</v>
      </c>
      <c r="M141" s="120">
        <f t="shared" ref="M141:N151" si="13">IF(J141=0,M140,J141)</f>
        <v>10</v>
      </c>
      <c r="N141" s="120">
        <f t="shared" si="13"/>
        <v>8.8000000000000007</v>
      </c>
      <c r="P141" s="120"/>
      <c r="Q141" s="121"/>
      <c r="R141" s="121"/>
      <c r="S141" s="121"/>
    </row>
    <row r="142" spans="3:19" s="119" customFormat="1" ht="20.25" customHeight="1" x14ac:dyDescent="0.25">
      <c r="C142" s="120">
        <f t="shared" si="11"/>
        <v>8.9499999999999996E-2</v>
      </c>
      <c r="D142" s="120">
        <f t="shared" si="12"/>
        <v>3.342631352324378</v>
      </c>
      <c r="E142" s="120">
        <f t="shared" si="10"/>
        <v>5.944456357061279</v>
      </c>
      <c r="F142" s="120">
        <f t="shared" si="9"/>
        <v>2.6019999999999999</v>
      </c>
      <c r="G142" s="126"/>
      <c r="H142" s="126"/>
      <c r="I142" s="120">
        <f t="shared" ref="I142:I151" si="14">I141+1</f>
        <v>4</v>
      </c>
      <c r="J142" s="120">
        <f>IF($K$72='5'!$A$3,'5'!A64,IF($K$72='5'!$A$4,'5'!A86,IF($K$72='5'!$A$5,'5'!A23,IF($K$72='5'!$A$6,'5'!A44,IF($K$72='5'!$A$7,'5'!A109,IF($K$72='5'!$A$8,'5'!A132,IF($K$72='5'!$A$9,'5'!A153,IF($K$72='5'!$A$10,'5'!A174,IF($K$72='5'!$A$11,'5'!A196,IF($K$72='5'!$A$12,'5'!A218,IF($K$72='5'!$A$13,'5'!A241,IF($K$72='5'!$A$14,'5'!A262,IF($K$72='5'!$A$15,'5'!A284,"")))))))))))))</f>
        <v>12.7</v>
      </c>
      <c r="K142" s="120">
        <f>IF($K$72='5'!$A$3,'5'!B64,IF($K$72='5'!$A$4,'5'!B86,IF($K$72='5'!$A$5,'5'!B23,IF($K$72='5'!$A$6,'5'!B44,IF($K$72='5'!$A$7,'5'!B109,IF($K$72='5'!$A$8,'5'!B132,IF($K$72='5'!$A$9,'5'!B153,IF($K$72='5'!$A$10,'5'!B174,IF($K$72='5'!$A$11,'5'!B196,IF($K$72='5'!$A$12,'5'!B218,IF($K$72='5'!$A$13,'5'!B241,IF($K$72='5'!$A$14,'5'!B262,IF($K$72='5'!$A$15,'5'!B284,"")))))))))))))</f>
        <v>7.8</v>
      </c>
      <c r="M142" s="120">
        <f t="shared" si="13"/>
        <v>12.7</v>
      </c>
      <c r="N142" s="120">
        <f t="shared" si="13"/>
        <v>7.8</v>
      </c>
      <c r="P142" s="120"/>
      <c r="Q142" s="121"/>
      <c r="R142" s="121"/>
      <c r="S142" s="121"/>
    </row>
    <row r="143" spans="3:19" s="119" customFormat="1" ht="20.25" customHeight="1" x14ac:dyDescent="0.25">
      <c r="C143" s="120">
        <f t="shared" si="11"/>
        <v>8.8999999999999996E-2</v>
      </c>
      <c r="D143" s="120">
        <f t="shared" si="12"/>
        <v>3.3520076157699545</v>
      </c>
      <c r="E143" s="120">
        <f t="shared" si="10"/>
        <v>5.9440423950401513</v>
      </c>
      <c r="F143" s="120">
        <f t="shared" si="9"/>
        <v>2.5920000000000001</v>
      </c>
      <c r="G143" s="126"/>
      <c r="H143" s="126"/>
      <c r="I143" s="120">
        <f t="shared" si="14"/>
        <v>5</v>
      </c>
      <c r="J143" s="120">
        <f>IF($K$72='5'!$A$3,'5'!A65,IF($K$72='5'!$A$4,'5'!A87,IF($K$72='5'!$A$5,'5'!A24,IF($K$72='5'!$A$6,'5'!A45,IF($K$72='5'!$A$7,'5'!A110,IF($K$72='5'!$A$8,'5'!A133,IF($K$72='5'!$A$9,'5'!A154,IF($K$72='5'!$A$10,'5'!A175,IF($K$72='5'!$A$11,'5'!A197,IF($K$72='5'!$A$12,'5'!A219,IF($K$72='5'!$A$13,'5'!A242,IF($K$72='5'!$A$14,'5'!A263,IF($K$72='5'!$A$15,'5'!A285,"")))))))))))))</f>
        <v>19.8</v>
      </c>
      <c r="K143" s="120">
        <f>IF($K$72='5'!$A$3,'5'!B65,IF($K$72='5'!$A$4,'5'!B87,IF($K$72='5'!$A$5,'5'!B24,IF($K$72='5'!$A$6,'5'!B45,IF($K$72='5'!$A$7,'5'!B110,IF($K$72='5'!$A$8,'5'!B133,IF($K$72='5'!$A$9,'5'!B154,IF($K$72='5'!$A$10,'5'!B175,IF($K$72='5'!$A$11,'5'!B197,IF($K$72='5'!$A$12,'5'!B219,IF($K$72='5'!$A$13,'5'!B242,IF($K$72='5'!$A$14,'5'!B263,IF($K$72='5'!$A$15,'5'!B285,"")))))))))))))</f>
        <v>5</v>
      </c>
      <c r="M143" s="120">
        <f t="shared" si="13"/>
        <v>19.8</v>
      </c>
      <c r="N143" s="120">
        <f t="shared" si="13"/>
        <v>5</v>
      </c>
      <c r="P143" s="120"/>
      <c r="Q143" s="121"/>
      <c r="R143" s="121"/>
      <c r="S143" s="121"/>
    </row>
    <row r="144" spans="3:19" s="119" customFormat="1" ht="20.25" customHeight="1" x14ac:dyDescent="0.25">
      <c r="C144" s="120">
        <f t="shared" si="11"/>
        <v>8.8499999999999995E-2</v>
      </c>
      <c r="D144" s="120">
        <f t="shared" si="12"/>
        <v>3.3614632272640721</v>
      </c>
      <c r="E144" s="120">
        <f t="shared" si="10"/>
        <v>5.9436251295092575</v>
      </c>
      <c r="F144" s="120">
        <f t="shared" si="9"/>
        <v>2.5819999999999999</v>
      </c>
      <c r="G144" s="126"/>
      <c r="H144" s="126"/>
      <c r="I144" s="120">
        <f t="shared" si="14"/>
        <v>6</v>
      </c>
      <c r="J144" s="120">
        <f>IF($K$72='5'!$A$3,'5'!A66,IF($K$72='5'!$A$4,'5'!A88,IF($K$72='5'!$A$5,'5'!A25,IF($K$72='5'!$A$6,'5'!A46,IF($K$72='5'!$A$7,'5'!A111,IF($K$72='5'!$A$8,'5'!A134,IF($K$72='5'!$A$9,'5'!A155,IF($K$72='5'!$A$10,'5'!A176,IF($K$72='5'!$A$11,'5'!A198,IF($K$72='5'!$A$12,'5'!A220,IF($K$72='5'!$A$13,'5'!A243,IF($K$72='5'!$A$14,'5'!A264,IF($K$72='5'!$A$15,'5'!A286,"")))))))))))))</f>
        <v>23</v>
      </c>
      <c r="K144" s="120">
        <f>IF($K$72='5'!$A$3,'5'!B66,IF($K$72='5'!$A$4,'5'!B88,IF($K$72='5'!$A$5,'5'!B25,IF($K$72='5'!$A$6,'5'!B46,IF($K$72='5'!$A$7,'5'!B111,IF($K$72='5'!$A$8,'5'!B134,IF($K$72='5'!$A$9,'5'!B155,IF($K$72='5'!$A$10,'5'!B176,IF($K$72='5'!$A$11,'5'!B198,IF($K$72='5'!$A$12,'5'!B220,IF($K$72='5'!$A$13,'5'!B243,IF($K$72='5'!$A$14,'5'!B264,IF($K$72='5'!$A$15,'5'!B286,"")))))))))))))</f>
        <v>3.6</v>
      </c>
      <c r="M144" s="120">
        <f t="shared" si="13"/>
        <v>23</v>
      </c>
      <c r="N144" s="120">
        <f t="shared" si="13"/>
        <v>3.6</v>
      </c>
      <c r="P144" s="120"/>
      <c r="Q144" s="121"/>
      <c r="R144" s="121"/>
      <c r="S144" s="121"/>
    </row>
    <row r="145" spans="3:19" s="119" customFormat="1" ht="20.25" customHeight="1" x14ac:dyDescent="0.25">
      <c r="C145" s="120">
        <f t="shared" si="11"/>
        <v>8.7999999999999995E-2</v>
      </c>
      <c r="D145" s="120">
        <f t="shared" si="12"/>
        <v>3.3709993123162105</v>
      </c>
      <c r="E145" s="120">
        <f t="shared" si="10"/>
        <v>5.9432045156908471</v>
      </c>
      <c r="F145" s="120">
        <f t="shared" si="9"/>
        <v>2.5720000000000001</v>
      </c>
      <c r="G145" s="126"/>
      <c r="H145" s="126"/>
      <c r="I145" s="120">
        <f t="shared" si="14"/>
        <v>7</v>
      </c>
      <c r="J145" s="120">
        <f>IF($K$72='5'!$A$3,'5'!A67,IF($K$72='5'!$A$4,'5'!A89,IF($K$72='5'!$A$5,'5'!A26,IF($K$72='5'!$A$6,'5'!A47,IF($K$72='5'!$A$7,'5'!A112,IF($K$72='5'!$A$8,'5'!A135,IF($K$72='5'!$A$9,'5'!A156,IF($K$72='5'!$A$10,'5'!A177,IF($K$72='5'!$A$11,'5'!A199,IF($K$72='5'!$A$12,'5'!A221,IF($K$72='5'!$A$13,'5'!A244,IF($K$72='5'!$A$14,'5'!A265,IF($K$72='5'!$A$15,'5'!A287,"")))))))))))))</f>
        <v>26.5</v>
      </c>
      <c r="K145" s="120">
        <f>IF($K$72='5'!$A$3,'5'!B67,IF($K$72='5'!$A$4,'5'!B89,IF($K$72='5'!$A$5,'5'!B26,IF($K$72='5'!$A$6,'5'!B47,IF($K$72='5'!$A$7,'5'!B112,IF($K$72='5'!$A$8,'5'!B135,IF($K$72='5'!$A$9,'5'!B156,IF($K$72='5'!$A$10,'5'!B177,IF($K$72='5'!$A$11,'5'!B199,IF($K$72='5'!$A$12,'5'!B221,IF($K$72='5'!$A$13,'5'!B244,IF($K$72='5'!$A$14,'5'!B265,IF($K$72='5'!$A$15,'5'!B287,"")))))))))))))</f>
        <v>1.9</v>
      </c>
      <c r="M145" s="120">
        <f t="shared" si="13"/>
        <v>26.5</v>
      </c>
      <c r="N145" s="120">
        <f t="shared" si="13"/>
        <v>1.9</v>
      </c>
      <c r="Q145" s="121"/>
      <c r="R145" s="121"/>
      <c r="S145" s="121"/>
    </row>
    <row r="146" spans="3:19" s="119" customFormat="1" ht="20.25" customHeight="1" x14ac:dyDescent="0.25">
      <c r="C146" s="120">
        <f t="shared" si="11"/>
        <v>8.7499999999999994E-2</v>
      </c>
      <c r="D146" s="120">
        <f t="shared" si="12"/>
        <v>3.3806170189140663</v>
      </c>
      <c r="E146" s="120">
        <f t="shared" si="10"/>
        <v>5.9427805079461402</v>
      </c>
      <c r="F146" s="120">
        <f t="shared" si="9"/>
        <v>2.5619999999999998</v>
      </c>
      <c r="G146" s="126"/>
      <c r="H146" s="126"/>
      <c r="I146" s="120">
        <f t="shared" si="14"/>
        <v>8</v>
      </c>
      <c r="J146" s="120">
        <f>IF($K$72='5'!$A$3,'5'!A68,IF($K$72='5'!$A$4,'5'!A90,IF($K$72='5'!$A$5,'5'!A27,IF($K$72='5'!$A$6,'5'!A48,IF($K$72='5'!$A$7,'5'!A113,IF($K$72='5'!$A$8,'5'!A136,IF($K$72='5'!$A$9,'5'!A157,IF($K$72='5'!$A$10,'5'!A178,IF($K$72='5'!$A$11,'5'!A200,IF($K$72='5'!$A$12,'5'!A222,IF($K$72='5'!$A$13,'5'!A245,IF($K$72='5'!$A$14,'5'!A266,IF($K$72='5'!$A$15,'5'!A288,"")))))))))))))</f>
        <v>0</v>
      </c>
      <c r="K146" s="120">
        <f>IF($K$72='5'!$A$3,'5'!B68,IF($K$72='5'!$A$4,'5'!B90,IF($K$72='5'!$A$5,'5'!B27,IF($K$72='5'!$A$6,'5'!B48,IF($K$72='5'!$A$7,'5'!B113,IF($K$72='5'!$A$8,'5'!B136,IF($K$72='5'!$A$9,'5'!B157,IF($K$72='5'!$A$10,'5'!B178,IF($K$72='5'!$A$11,'5'!B200,IF($K$72='5'!$A$12,'5'!B222,IF($K$72='5'!$A$13,'5'!B245,IF($K$72='5'!$A$14,'5'!B266,IF($K$72='5'!$A$15,'5'!B288,"")))))))))))))</f>
        <v>0</v>
      </c>
      <c r="M146" s="120">
        <f t="shared" si="13"/>
        <v>26.5</v>
      </c>
      <c r="N146" s="120">
        <f t="shared" si="13"/>
        <v>1.9</v>
      </c>
      <c r="Q146" s="121"/>
      <c r="R146" s="121"/>
      <c r="S146" s="121"/>
    </row>
    <row r="147" spans="3:19" s="119" customFormat="1" ht="20.25" customHeight="1" x14ac:dyDescent="0.25">
      <c r="C147" s="120">
        <f t="shared" si="11"/>
        <v>8.6999999999999994E-2</v>
      </c>
      <c r="D147" s="120">
        <f t="shared" si="12"/>
        <v>3.3903175181040521</v>
      </c>
      <c r="E147" s="120">
        <f t="shared" si="10"/>
        <v>5.942353059753815</v>
      </c>
      <c r="F147" s="120">
        <f t="shared" si="9"/>
        <v>2.552</v>
      </c>
      <c r="G147" s="126"/>
      <c r="H147" s="126"/>
      <c r="I147" s="120">
        <f t="shared" si="14"/>
        <v>9</v>
      </c>
      <c r="J147" s="120">
        <f>IF($K$72='5'!$A$3,'5'!A69,IF($K$72='5'!$A$4,'5'!A91,IF($K$72='5'!$A$5,'5'!A28,IF($K$72='5'!$A$6,'5'!A49,IF($K$72='5'!$A$7,'5'!A114,IF($K$72='5'!$A$8,'5'!A137,IF($K$72='5'!$A$9,'5'!A158,IF($K$72='5'!$A$10,'5'!A179,IF($K$72='5'!$A$11,'5'!A201,IF($K$72='5'!$A$12,'5'!A223,IF($K$72='5'!$A$13,'5'!A246,IF($K$72='5'!$A$14,'5'!A267,IF($K$72='5'!$A$15,'5'!A289,"")))))))))))))</f>
        <v>0</v>
      </c>
      <c r="K147" s="120">
        <f>IF($K$72='5'!$A$3,'5'!B69,IF($K$72='5'!$A$4,'5'!B91,IF($K$72='5'!$A$5,'5'!B28,IF($K$72='5'!$A$6,'5'!B49,IF($K$72='5'!$A$7,'5'!B114,IF($K$72='5'!$A$8,'5'!B137,IF($K$72='5'!$A$9,'5'!B158,IF($K$72='5'!$A$10,'5'!B179,IF($K$72='5'!$A$11,'5'!B201,IF($K$72='5'!$A$12,'5'!B223,IF($K$72='5'!$A$13,'5'!B246,IF($K$72='5'!$A$14,'5'!B267,IF($K$72='5'!$A$15,'5'!B289,"")))))))))))))</f>
        <v>0</v>
      </c>
      <c r="M147" s="120">
        <f t="shared" si="13"/>
        <v>26.5</v>
      </c>
      <c r="N147" s="120">
        <f t="shared" si="13"/>
        <v>1.9</v>
      </c>
      <c r="Q147" s="121"/>
      <c r="R147" s="121"/>
      <c r="S147" s="121"/>
    </row>
    <row r="148" spans="3:19" s="119" customFormat="1" ht="20.25" customHeight="1" x14ac:dyDescent="0.25">
      <c r="C148" s="120">
        <f t="shared" si="11"/>
        <v>8.6499999999999994E-2</v>
      </c>
      <c r="D148" s="120">
        <f t="shared" si="12"/>
        <v>3.4001020045902295</v>
      </c>
      <c r="E148" s="120">
        <f t="shared" si="10"/>
        <v>5.9419221236878252</v>
      </c>
      <c r="F148" s="120">
        <f t="shared" si="9"/>
        <v>2.5419999999999998</v>
      </c>
      <c r="G148" s="126"/>
      <c r="H148" s="126"/>
      <c r="I148" s="120">
        <f t="shared" si="14"/>
        <v>10</v>
      </c>
      <c r="J148" s="120">
        <f>IF($K$72='5'!$A$3,'5'!A70,IF($K$72='5'!$A$4,'5'!A92,IF($K$72='5'!$A$5,'5'!A29,IF($K$72='5'!$A$6,'5'!A50,IF($K$72='5'!$A$7,'5'!A115,IF($K$72='5'!$A$8,'5'!A138,IF($K$72='5'!$A$9,'5'!A159,IF($K$72='5'!$A$10,'5'!A180,IF($K$72='5'!$A$11,'5'!A202,IF($K$72='5'!$A$12,'5'!A224,IF($K$72='5'!$A$13,'5'!A247,IF($K$72='5'!$A$14,'5'!A268,IF($K$72='5'!$A$15,'5'!A290,"")))))))))))))</f>
        <v>0</v>
      </c>
      <c r="K148" s="120">
        <f>IF($K$72='5'!$A$3,'5'!B70,IF($K$72='5'!$A$4,'5'!B92,IF($K$72='5'!$A$5,'5'!B29,IF($K$72='5'!$A$6,'5'!B50,IF($K$72='5'!$A$7,'5'!B115,IF($K$72='5'!$A$8,'5'!B138,IF($K$72='5'!$A$9,'5'!B159,IF($K$72='5'!$A$10,'5'!B180,IF($K$72='5'!$A$11,'5'!B202,IF($K$72='5'!$A$12,'5'!B224,IF($K$72='5'!$A$13,'5'!B247,IF($K$72='5'!$A$14,'5'!B268,IF($K$72='5'!$A$15,'5'!B290,"")))))))))))))</f>
        <v>0</v>
      </c>
      <c r="M148" s="120">
        <f t="shared" si="13"/>
        <v>26.5</v>
      </c>
      <c r="N148" s="120">
        <f t="shared" si="13"/>
        <v>1.9</v>
      </c>
      <c r="Q148" s="121"/>
      <c r="R148" s="121"/>
      <c r="S148" s="121"/>
    </row>
    <row r="149" spans="3:19" s="119" customFormat="1" ht="20.25" customHeight="1" x14ac:dyDescent="0.25">
      <c r="C149" s="120">
        <f t="shared" si="11"/>
        <v>8.5999999999999993E-2</v>
      </c>
      <c r="D149" s="120">
        <f t="shared" si="12"/>
        <v>3.4099716973523679</v>
      </c>
      <c r="E149" s="120">
        <f t="shared" si="10"/>
        <v>5.9414876513945343</v>
      </c>
      <c r="F149" s="120">
        <f t="shared" si="9"/>
        <v>2.532</v>
      </c>
      <c r="G149" s="126"/>
      <c r="H149" s="126"/>
      <c r="I149" s="120">
        <f t="shared" si="14"/>
        <v>11</v>
      </c>
      <c r="J149" s="120">
        <f>IF($K$72='5'!$A$3,'5'!A71,IF($K$72='5'!$A$4,'5'!A93,IF($K$72='5'!$A$5,'5'!A30,IF($K$72='5'!$A$6,'5'!A51,IF($K$72='5'!$A$7,'5'!A116,IF($K$72='5'!$A$8,'5'!A139,IF($K$72='5'!$A$9,'5'!A160,IF($K$72='5'!$A$10,'5'!A181,IF($K$72='5'!$A$11,'5'!A203,IF($K$72='5'!$A$12,'5'!A225,IF($K$72='5'!$A$13,'5'!A248,IF($K$72='5'!$A$14,'5'!A269,IF($K$72='5'!$A$15,'5'!A291,"")))))))))))))</f>
        <v>0</v>
      </c>
      <c r="K149" s="120">
        <f>IF($K$72='5'!$A$3,'5'!B71,IF($K$72='5'!$A$4,'5'!B93,IF($K$72='5'!$A$5,'5'!B30,IF($K$72='5'!$A$6,'5'!B51,IF($K$72='5'!$A$7,'5'!B116,IF($K$72='5'!$A$8,'5'!B139,IF($K$72='5'!$A$9,'5'!B160,IF($K$72='5'!$A$10,'5'!B181,IF($K$72='5'!$A$11,'5'!B203,IF($K$72='5'!$A$12,'5'!B225,IF($K$72='5'!$A$13,'5'!B248,IF($K$72='5'!$A$14,'5'!B269,IF($K$72='5'!$A$15,'5'!B291,"")))))))))))))</f>
        <v>0</v>
      </c>
      <c r="M149" s="120">
        <f t="shared" si="13"/>
        <v>26.5</v>
      </c>
      <c r="N149" s="120">
        <f t="shared" si="13"/>
        <v>1.9</v>
      </c>
      <c r="Q149" s="121"/>
      <c r="R149" s="121"/>
      <c r="S149" s="121"/>
    </row>
    <row r="150" spans="3:19" s="119" customFormat="1" ht="20.25" customHeight="1" x14ac:dyDescent="0.25">
      <c r="C150" s="120">
        <f t="shared" si="11"/>
        <v>8.5499999999999993E-2</v>
      </c>
      <c r="D150" s="120">
        <f t="shared" si="12"/>
        <v>3.4199278402838469</v>
      </c>
      <c r="E150" s="120">
        <f t="shared" si="10"/>
        <v>5.9410495935691348</v>
      </c>
      <c r="F150" s="120">
        <f t="shared" si="9"/>
        <v>2.5209999999999999</v>
      </c>
      <c r="G150" s="126"/>
      <c r="H150" s="126"/>
      <c r="I150" s="120">
        <f t="shared" si="14"/>
        <v>12</v>
      </c>
      <c r="J150" s="120">
        <f>IF($K$72='5'!$A$3,'5'!A72,IF($K$72='5'!$A$4,'5'!A94,IF($K$72='5'!$A$5,'5'!A31,IF($K$72='5'!$A$6,'5'!A52,IF($K$72='5'!$A$7,'5'!A117,IF($K$72='5'!$A$8,'5'!A140,IF($K$72='5'!$A$9,'5'!A161,IF($K$72='5'!$A$10,'5'!A182,IF($K$72='5'!$A$11,'5'!A204,IF($K$72='5'!$A$12,'5'!A226,IF($K$72='5'!$A$13,'5'!A249,IF($K$72='5'!$A$14,'5'!A270,IF($K$72='5'!$A$15,'5'!A292,"")))))))))))))</f>
        <v>0</v>
      </c>
      <c r="K150" s="120">
        <f>IF($K$72='5'!$A$3,'5'!B72,IF($K$72='5'!$A$4,'5'!B94,IF($K$72='5'!$A$5,'5'!B31,IF($K$72='5'!$A$6,'5'!B52,IF($K$72='5'!$A$7,'5'!B117,IF($K$72='5'!$A$8,'5'!B140,IF($K$72='5'!$A$9,'5'!B161,IF($K$72='5'!$A$10,'5'!B182,IF($K$72='5'!$A$11,'5'!B204,IF($K$72='5'!$A$12,'5'!B226,IF($K$72='5'!$A$13,'5'!B249,IF($K$72='5'!$A$14,'5'!B270,IF($K$72='5'!$A$15,'5'!B292,"")))))))))))))</f>
        <v>0</v>
      </c>
      <c r="M150" s="120">
        <f t="shared" si="13"/>
        <v>26.5</v>
      </c>
      <c r="N150" s="120">
        <f t="shared" si="13"/>
        <v>1.9</v>
      </c>
      <c r="Q150" s="121"/>
    </row>
    <row r="151" spans="3:19" s="119" customFormat="1" ht="20.25" customHeight="1" x14ac:dyDescent="0.25">
      <c r="C151" s="120">
        <f t="shared" si="11"/>
        <v>8.4999999999999992E-2</v>
      </c>
      <c r="D151" s="120">
        <f t="shared" si="12"/>
        <v>3.4299717028501773</v>
      </c>
      <c r="E151" s="120">
        <f t="shared" si="10"/>
        <v>5.9406078999313285</v>
      </c>
      <c r="F151" s="120">
        <f t="shared" si="9"/>
        <v>2.5110000000000001</v>
      </c>
      <c r="G151" s="126"/>
      <c r="H151" s="126"/>
      <c r="I151" s="120">
        <f t="shared" si="14"/>
        <v>13</v>
      </c>
      <c r="J151" s="120">
        <f>IF($K$72='5'!$A$3,'5'!A73,IF($K$72='5'!$A$4,'5'!A95,IF($K$72='5'!$A$5,'5'!A32,IF($K$72='5'!$A$6,'5'!A53,IF($K$72='5'!$A$7,'5'!A118,IF($K$72='5'!$A$8,'5'!A141,IF($K$72='5'!$A$9,'5'!A162,IF($K$72='5'!$A$10,'5'!A183,IF($K$72='5'!$A$11,'5'!A205,IF($K$72='5'!$A$12,'5'!A227,IF($K$72='5'!$A$13,'5'!A250,IF($K$72='5'!$A$14,'5'!A271,IF($K$72='5'!$A$15,'5'!A293,"")))))))))))))</f>
        <v>0</v>
      </c>
      <c r="K151" s="120">
        <f>IF($K$72='5'!$A$3,'5'!B73,IF($K$72='5'!$A$4,'5'!B95,IF($K$72='5'!$A$5,'5'!B32,IF($K$72='5'!$A$6,'5'!B53,IF($K$72='5'!$A$7,'5'!B118,IF($K$72='5'!$A$8,'5'!B141,IF($K$72='5'!$A$9,'5'!B162,IF($K$72='5'!$A$10,'5'!B183,IF($K$72='5'!$A$11,'5'!B205,IF($K$72='5'!$A$12,'5'!B227,IF($K$72='5'!$A$13,'5'!B250,IF($K$72='5'!$A$14,'5'!B271,IF($K$72='5'!$A$15,'5'!B293,"")))))))))))))</f>
        <v>0</v>
      </c>
      <c r="M151" s="120">
        <f t="shared" si="13"/>
        <v>26.5</v>
      </c>
      <c r="N151" s="120">
        <f t="shared" si="13"/>
        <v>1.9</v>
      </c>
      <c r="Q151" s="121"/>
    </row>
    <row r="152" spans="3:19" s="119" customFormat="1" ht="20.25" customHeight="1" x14ac:dyDescent="0.25">
      <c r="C152" s="120">
        <f t="shared" si="11"/>
        <v>8.4499999999999992E-2</v>
      </c>
      <c r="D152" s="120">
        <f t="shared" si="12"/>
        <v>3.440104580768907</v>
      </c>
      <c r="E152" s="120">
        <f t="shared" si="10"/>
        <v>5.9401625192002427</v>
      </c>
      <c r="F152" s="120">
        <f t="shared" si="9"/>
        <v>2.5</v>
      </c>
      <c r="G152" s="126"/>
      <c r="H152" s="126"/>
      <c r="I152" s="126"/>
    </row>
    <row r="153" spans="3:19" s="119" customFormat="1" ht="20.25" customHeight="1" x14ac:dyDescent="0.25">
      <c r="C153" s="120">
        <f t="shared" si="11"/>
        <v>8.3999999999999991E-2</v>
      </c>
      <c r="D153" s="120">
        <f t="shared" si="12"/>
        <v>3.4503277967117714</v>
      </c>
      <c r="E153" s="120">
        <f t="shared" si="10"/>
        <v>5.9397133990685402</v>
      </c>
      <c r="F153" s="120">
        <f t="shared" ref="F153:F184" si="15">ROUND(ABS(D153-E153),3)</f>
        <v>2.4889999999999999</v>
      </c>
      <c r="G153" s="126"/>
      <c r="H153" s="126"/>
      <c r="I153" s="126"/>
      <c r="J153" s="126"/>
      <c r="K153" s="126"/>
      <c r="L153" s="126"/>
    </row>
    <row r="154" spans="3:19" s="119" customFormat="1" ht="20.25" customHeight="1" x14ac:dyDescent="0.25">
      <c r="C154" s="120">
        <f t="shared" si="11"/>
        <v>8.3499999999999991E-2</v>
      </c>
      <c r="D154" s="120">
        <f t="shared" si="12"/>
        <v>3.4606427010299137</v>
      </c>
      <c r="E154" s="120">
        <f t="shared" si="10"/>
        <v>5.9392604861757166</v>
      </c>
      <c r="F154" s="120">
        <f t="shared" si="15"/>
        <v>2.4790000000000001</v>
      </c>
      <c r="G154" s="126"/>
      <c r="H154" s="126"/>
      <c r="I154" s="121" t="s">
        <v>265</v>
      </c>
      <c r="K154" s="126"/>
      <c r="L154" s="169" t="s">
        <v>219</v>
      </c>
    </row>
    <row r="155" spans="3:19" s="119" customFormat="1" ht="20.25" customHeight="1" x14ac:dyDescent="0.25">
      <c r="C155" s="120">
        <f t="shared" si="11"/>
        <v>8.299999999999999E-2</v>
      </c>
      <c r="D155" s="120">
        <f t="shared" si="12"/>
        <v>3.4710506725031167</v>
      </c>
      <c r="E155" s="120">
        <f t="shared" si="10"/>
        <v>5.9388037260805318</v>
      </c>
      <c r="F155" s="120">
        <f t="shared" si="15"/>
        <v>2.468</v>
      </c>
      <c r="G155" s="126"/>
      <c r="H155" s="126"/>
      <c r="I155" s="122" t="s">
        <v>114</v>
      </c>
      <c r="J155" s="122" t="s">
        <v>218</v>
      </c>
      <c r="K155" s="126"/>
      <c r="L155" s="169">
        <v>1</v>
      </c>
    </row>
    <row r="156" spans="3:19" s="119" customFormat="1" ht="20.25" customHeight="1" x14ac:dyDescent="0.25">
      <c r="C156" s="120">
        <f t="shared" si="11"/>
        <v>8.249999999999999E-2</v>
      </c>
      <c r="D156" s="120">
        <f t="shared" si="12"/>
        <v>3.4815531191139568</v>
      </c>
      <c r="E156" s="120">
        <f t="shared" si="10"/>
        <v>5.9383430632325487</v>
      </c>
      <c r="F156" s="120">
        <f t="shared" si="15"/>
        <v>2.4569999999999999</v>
      </c>
      <c r="G156" s="126"/>
      <c r="H156" s="126"/>
      <c r="I156" s="122">
        <f>I5</f>
        <v>13</v>
      </c>
      <c r="J156" s="133">
        <f>L69</f>
        <v>3.22153706651557</v>
      </c>
      <c r="K156" s="126"/>
      <c r="L156" s="169">
        <v>2</v>
      </c>
    </row>
    <row r="157" spans="3:19" s="119" customFormat="1" ht="20.25" customHeight="1" x14ac:dyDescent="0.25">
      <c r="C157" s="120">
        <f t="shared" si="11"/>
        <v>8.199999999999999E-2</v>
      </c>
      <c r="D157" s="120">
        <f t="shared" si="12"/>
        <v>3.4921514788478909</v>
      </c>
      <c r="E157" s="120">
        <f t="shared" si="10"/>
        <v>5.9378784409427547</v>
      </c>
      <c r="F157" s="120">
        <f t="shared" si="15"/>
        <v>2.4460000000000002</v>
      </c>
      <c r="G157" s="126"/>
      <c r="H157" s="126"/>
      <c r="I157" s="126"/>
      <c r="J157" s="126"/>
      <c r="K157" s="126"/>
      <c r="L157" s="126"/>
    </row>
    <row r="158" spans="3:19" s="119" customFormat="1" ht="20.25" customHeight="1" x14ac:dyDescent="0.25">
      <c r="C158" s="120">
        <f t="shared" si="11"/>
        <v>8.1499999999999989E-2</v>
      </c>
      <c r="D158" s="120">
        <f t="shared" si="12"/>
        <v>3.5028472205202941</v>
      </c>
      <c r="E158" s="120">
        <f t="shared" si="10"/>
        <v>5.9374098013532191</v>
      </c>
      <c r="F158" s="120">
        <f t="shared" si="15"/>
        <v>2.4350000000000001</v>
      </c>
      <c r="G158" s="126"/>
      <c r="H158" s="126"/>
      <c r="I158" s="126"/>
      <c r="J158" s="126"/>
      <c r="K158" s="126"/>
      <c r="L158" s="126"/>
    </row>
    <row r="159" spans="3:19" s="119" customFormat="1" ht="20.25" customHeight="1" x14ac:dyDescent="0.25">
      <c r="C159" s="120">
        <f t="shared" si="11"/>
        <v>8.0999999999999989E-2</v>
      </c>
      <c r="D159" s="120">
        <f t="shared" si="12"/>
        <v>3.513641844631533</v>
      </c>
      <c r="E159" s="120">
        <f t="shared" si="10"/>
        <v>5.9369370854057486</v>
      </c>
      <c r="F159" s="120">
        <f t="shared" si="15"/>
        <v>2.423</v>
      </c>
      <c r="G159" s="126"/>
      <c r="H159" s="126"/>
      <c r="I159" s="126"/>
      <c r="J159" s="126"/>
      <c r="K159" s="126"/>
      <c r="L159" s="126"/>
    </row>
    <row r="160" spans="3:19" s="119" customFormat="1" ht="20.25" customHeight="1" x14ac:dyDescent="0.25">
      <c r="C160" s="120">
        <f t="shared" si="11"/>
        <v>8.0499999999999988E-2</v>
      </c>
      <c r="D160" s="120">
        <f t="shared" si="12"/>
        <v>3.5245368842512068</v>
      </c>
      <c r="E160" s="120">
        <f t="shared" si="10"/>
        <v>5.9364602328095133</v>
      </c>
      <c r="F160" s="120">
        <f t="shared" si="15"/>
        <v>2.4119999999999999</v>
      </c>
      <c r="G160" s="126"/>
      <c r="H160" s="126"/>
      <c r="I160" s="126"/>
      <c r="J160" s="126"/>
      <c r="K160" s="126"/>
      <c r="L160" s="126"/>
    </row>
    <row r="161" spans="3:12" s="119" customFormat="1" x14ac:dyDescent="0.25">
      <c r="C161" s="120">
        <f t="shared" si="11"/>
        <v>7.9999999999999988E-2</v>
      </c>
      <c r="D161" s="120">
        <f t="shared" si="12"/>
        <v>3.5355339059327378</v>
      </c>
      <c r="E161" s="120">
        <f t="shared" si="10"/>
        <v>5.9359791820075847</v>
      </c>
      <c r="F161" s="120">
        <f t="shared" si="15"/>
        <v>2.4</v>
      </c>
      <c r="I161" s="174"/>
      <c r="J161" s="174"/>
      <c r="K161" s="174"/>
      <c r="L161" s="174"/>
    </row>
    <row r="162" spans="3:12" s="119" customFormat="1" x14ac:dyDescent="0.25">
      <c r="C162" s="120">
        <f t="shared" si="11"/>
        <v>7.9499999999999987E-2</v>
      </c>
      <c r="D162" s="120">
        <f t="shared" si="12"/>
        <v>3.5466345106595432</v>
      </c>
      <c r="E162" s="120">
        <f t="shared" si="10"/>
        <v>5.9354938701423636</v>
      </c>
      <c r="F162" s="120">
        <f t="shared" si="15"/>
        <v>2.3889999999999998</v>
      </c>
      <c r="I162" s="174"/>
      <c r="J162" s="174"/>
      <c r="K162" s="174"/>
      <c r="L162" s="174"/>
    </row>
    <row r="163" spans="3:12" s="119" customFormat="1" x14ac:dyDescent="0.25">
      <c r="C163" s="120">
        <f t="shared" si="11"/>
        <v>7.8999999999999987E-2</v>
      </c>
      <c r="D163" s="120">
        <f t="shared" si="12"/>
        <v>3.5578403348241006</v>
      </c>
      <c r="E163" s="120">
        <f t="shared" si="10"/>
        <v>5.9350042330198347</v>
      </c>
      <c r="F163" s="120">
        <f t="shared" si="15"/>
        <v>2.3769999999999998</v>
      </c>
      <c r="I163" s="174"/>
      <c r="J163" s="174"/>
      <c r="K163" s="174"/>
      <c r="L163" s="174"/>
    </row>
    <row r="164" spans="3:12" s="119" customFormat="1" x14ac:dyDescent="0.25">
      <c r="C164" s="120">
        <f t="shared" si="11"/>
        <v>7.8499999999999986E-2</v>
      </c>
      <c r="D164" s="120">
        <f t="shared" si="12"/>
        <v>3.5691530512412486</v>
      </c>
      <c r="E164" s="120">
        <f t="shared" si="10"/>
        <v>5.9345102050726073</v>
      </c>
      <c r="F164" s="120">
        <f t="shared" si="15"/>
        <v>2.3650000000000002</v>
      </c>
      <c r="I164" s="174"/>
      <c r="J164" s="174"/>
      <c r="K164" s="174"/>
      <c r="L164" s="174"/>
    </row>
    <row r="165" spans="3:12" s="119" customFormat="1" x14ac:dyDescent="0.25">
      <c r="C165" s="120">
        <f t="shared" si="11"/>
        <v>7.7999999999999986E-2</v>
      </c>
      <c r="D165" s="120">
        <f t="shared" si="12"/>
        <v>3.5805743701971644</v>
      </c>
      <c r="E165" s="120">
        <f t="shared" si="10"/>
        <v>5.9340117193217043</v>
      </c>
      <c r="F165" s="120">
        <f t="shared" si="15"/>
        <v>2.3530000000000002</v>
      </c>
    </row>
    <row r="166" spans="3:12" s="119" customFormat="1" x14ac:dyDescent="0.25">
      <c r="C166" s="120">
        <f t="shared" si="11"/>
        <v>7.7499999999999986E-2</v>
      </c>
      <c r="D166" s="120">
        <f t="shared" si="12"/>
        <v>3.5921060405354988</v>
      </c>
      <c r="E166" s="120">
        <f t="shared" si="10"/>
        <v>5.9335087073370243</v>
      </c>
      <c r="F166" s="120">
        <f t="shared" si="15"/>
        <v>2.3410000000000002</v>
      </c>
    </row>
    <row r="167" spans="3:12" s="119" customFormat="1" x14ac:dyDescent="0.25">
      <c r="C167" s="120">
        <f t="shared" si="11"/>
        <v>7.6999999999999985E-2</v>
      </c>
      <c r="D167" s="120">
        <f t="shared" si="12"/>
        <v>3.6037498507822359</v>
      </c>
      <c r="E167" s="120">
        <f t="shared" si="10"/>
        <v>5.9330010991964492</v>
      </c>
      <c r="F167" s="120">
        <f t="shared" si="15"/>
        <v>2.3290000000000002</v>
      </c>
    </row>
    <row r="168" spans="3:12" s="119" customFormat="1" x14ac:dyDescent="0.25">
      <c r="C168" s="120">
        <f t="shared" si="11"/>
        <v>7.6499999999999985E-2</v>
      </c>
      <c r="D168" s="120">
        <f t="shared" si="12"/>
        <v>3.6155076303109364</v>
      </c>
      <c r="E168" s="120">
        <f t="shared" si="10"/>
        <v>5.932488823443518</v>
      </c>
      <c r="F168" s="120">
        <f t="shared" si="15"/>
        <v>2.3170000000000002</v>
      </c>
    </row>
    <row r="169" spans="3:12" s="119" customFormat="1" x14ac:dyDescent="0.25">
      <c r="C169" s="120">
        <f t="shared" si="11"/>
        <v>7.5999999999999984E-2</v>
      </c>
      <c r="D169" s="120">
        <f t="shared" si="12"/>
        <v>3.6273812505500591</v>
      </c>
      <c r="E169" s="120">
        <f t="shared" si="10"/>
        <v>5.9319718070436274</v>
      </c>
      <c r="F169" s="120">
        <f t="shared" si="15"/>
        <v>2.3050000000000002</v>
      </c>
    </row>
    <row r="170" spans="3:12" s="119" customFormat="1" x14ac:dyDescent="0.25">
      <c r="C170" s="120">
        <f t="shared" si="11"/>
        <v>7.5499999999999984E-2</v>
      </c>
      <c r="D170" s="120">
        <f t="shared" si="12"/>
        <v>3.6393726262341954</v>
      </c>
      <c r="E170" s="120">
        <f t="shared" si="10"/>
        <v>5.9314499753386807</v>
      </c>
      <c r="F170" s="120">
        <f t="shared" si="15"/>
        <v>2.2919999999999998</v>
      </c>
    </row>
    <row r="171" spans="3:12" s="119" customFormat="1" x14ac:dyDescent="0.25">
      <c r="C171" s="120">
        <f t="shared" si="11"/>
        <v>7.4999999999999983E-2</v>
      </c>
      <c r="D171" s="120">
        <f t="shared" si="12"/>
        <v>3.6514837167011076</v>
      </c>
      <c r="E171" s="120">
        <f t="shared" si="10"/>
        <v>5.9309232520001309</v>
      </c>
      <c r="F171" s="120">
        <f t="shared" si="15"/>
        <v>2.2789999999999999</v>
      </c>
    </row>
    <row r="172" spans="3:12" s="119" customFormat="1" x14ac:dyDescent="0.25">
      <c r="C172" s="120">
        <f t="shared" si="11"/>
        <v>7.4499999999999983E-2</v>
      </c>
      <c r="D172" s="120">
        <f t="shared" si="12"/>
        <v>3.6637165272365588</v>
      </c>
      <c r="E172" s="120">
        <f t="shared" si="10"/>
        <v>5.9303915589803458</v>
      </c>
      <c r="F172" s="120">
        <f t="shared" si="15"/>
        <v>2.2669999999999999</v>
      </c>
    </row>
    <row r="173" spans="3:12" s="119" customFormat="1" x14ac:dyDescent="0.25">
      <c r="C173" s="120">
        <f t="shared" si="11"/>
        <v>7.3999999999999982E-2</v>
      </c>
      <c r="D173" s="120">
        <f t="shared" si="12"/>
        <v>3.6760731104690394</v>
      </c>
      <c r="E173" s="120">
        <f t="shared" si="10"/>
        <v>5.9298548164622247</v>
      </c>
      <c r="F173" s="120">
        <f t="shared" si="15"/>
        <v>2.254</v>
      </c>
    </row>
    <row r="174" spans="3:12" s="119" customFormat="1" x14ac:dyDescent="0.25">
      <c r="C174" s="120">
        <f t="shared" si="11"/>
        <v>7.3499999999999982E-2</v>
      </c>
      <c r="D174" s="120">
        <f t="shared" si="12"/>
        <v>3.688555567816588</v>
      </c>
      <c r="E174" s="120">
        <f t="shared" si="10"/>
        <v>5.9293129428069884</v>
      </c>
      <c r="F174" s="120">
        <f t="shared" si="15"/>
        <v>2.2410000000000001</v>
      </c>
    </row>
    <row r="175" spans="3:12" s="119" customFormat="1" x14ac:dyDescent="0.25">
      <c r="C175" s="120">
        <f t="shared" si="11"/>
        <v>7.2999999999999982E-2</v>
      </c>
      <c r="D175" s="120">
        <f t="shared" si="12"/>
        <v>3.7011660509880269</v>
      </c>
      <c r="E175" s="120">
        <f t="shared" si="10"/>
        <v>5.9287658545000692</v>
      </c>
      <c r="F175" s="120">
        <f t="shared" si="15"/>
        <v>2.2280000000000002</v>
      </c>
    </row>
    <row r="176" spans="3:12" s="119" customFormat="1" x14ac:dyDescent="0.25">
      <c r="C176" s="120">
        <f t="shared" si="11"/>
        <v>7.2499999999999981E-2</v>
      </c>
      <c r="D176" s="120">
        <f t="shared" si="12"/>
        <v>3.7139067635410377</v>
      </c>
      <c r="E176" s="120">
        <f t="shared" si="10"/>
        <v>5.9282134660950119</v>
      </c>
      <c r="F176" s="120">
        <f t="shared" si="15"/>
        <v>2.214</v>
      </c>
    </row>
    <row r="177" spans="1:6" s="119" customFormat="1" x14ac:dyDescent="0.25">
      <c r="C177" s="120">
        <f t="shared" si="11"/>
        <v>7.1999999999999981E-2</v>
      </c>
      <c r="D177" s="120">
        <f t="shared" si="12"/>
        <v>3.7267799624996503</v>
      </c>
      <c r="E177" s="120">
        <f t="shared" si="10"/>
        <v>5.9276556901553077</v>
      </c>
      <c r="F177" s="120">
        <f t="shared" si="15"/>
        <v>2.2010000000000001</v>
      </c>
    </row>
    <row r="178" spans="1:6" s="119" customFormat="1" x14ac:dyDescent="0.25">
      <c r="C178" s="120">
        <f t="shared" si="11"/>
        <v>7.149999999999998E-2</v>
      </c>
      <c r="D178" s="120">
        <f t="shared" si="12"/>
        <v>3.7397879600338291</v>
      </c>
      <c r="E178" s="120">
        <f t="shared" si="10"/>
        <v>5.9270924371940579</v>
      </c>
      <c r="F178" s="120">
        <f t="shared" si="15"/>
        <v>2.1869999999999998</v>
      </c>
    </row>
    <row r="179" spans="1:6" s="119" customFormat="1" x14ac:dyDescent="0.25">
      <c r="C179" s="120">
        <f t="shared" si="11"/>
        <v>7.099999999999998E-2</v>
      </c>
      <c r="D179" s="120">
        <f t="shared" si="12"/>
        <v>3.7529331252040081</v>
      </c>
      <c r="E179" s="120">
        <f t="shared" si="10"/>
        <v>5.9265236156113792</v>
      </c>
      <c r="F179" s="120">
        <f t="shared" si="15"/>
        <v>2.1739999999999999</v>
      </c>
    </row>
    <row r="180" spans="1:6" s="119" customFormat="1" x14ac:dyDescent="0.25">
      <c r="C180" s="120">
        <f t="shared" si="11"/>
        <v>7.0499999999999979E-2</v>
      </c>
      <c r="D180" s="120">
        <f t="shared" si="12"/>
        <v>3.766217885773548</v>
      </c>
      <c r="E180" s="120">
        <f t="shared" si="10"/>
        <v>5.9259491316294515</v>
      </c>
      <c r="F180" s="120">
        <f t="shared" si="15"/>
        <v>2.16</v>
      </c>
    </row>
    <row r="181" spans="1:6" s="119" customFormat="1" x14ac:dyDescent="0.25">
      <c r="C181" s="120">
        <f t="shared" si="11"/>
        <v>6.9999999999999979E-2</v>
      </c>
      <c r="D181" s="120">
        <f t="shared" si="12"/>
        <v>3.7796447300922726</v>
      </c>
      <c r="E181" s="120">
        <f t="shared" si="10"/>
        <v>5.9253688892250942</v>
      </c>
      <c r="F181" s="120">
        <f t="shared" si="15"/>
        <v>2.1459999999999999</v>
      </c>
    </row>
    <row r="182" spans="1:6" s="119" customFormat="1" x14ac:dyDescent="0.25">
      <c r="C182" s="120">
        <f t="shared" si="11"/>
        <v>6.9499999999999978E-2</v>
      </c>
      <c r="D182" s="120">
        <f t="shared" si="12"/>
        <v>3.7932162090544086</v>
      </c>
      <c r="E182" s="120">
        <f t="shared" si="10"/>
        <v>5.9247827900597603</v>
      </c>
      <c r="F182" s="120">
        <f t="shared" si="15"/>
        <v>2.1320000000000001</v>
      </c>
    </row>
    <row r="183" spans="1:6" s="119" customFormat="1" x14ac:dyDescent="0.25">
      <c r="C183" s="120">
        <f t="shared" si="11"/>
        <v>6.8999999999999978E-2</v>
      </c>
      <c r="D183" s="120">
        <f t="shared" si="12"/>
        <v>3.8069349381344053</v>
      </c>
      <c r="E183" s="120">
        <f t="shared" si="10"/>
        <v>5.9241907334068431</v>
      </c>
      <c r="F183" s="120">
        <f t="shared" si="15"/>
        <v>2.117</v>
      </c>
    </row>
    <row r="184" spans="1:6" s="119" customFormat="1" x14ac:dyDescent="0.25">
      <c r="C184" s="120">
        <f t="shared" si="11"/>
        <v>6.8499999999999978E-2</v>
      </c>
      <c r="D184" s="120">
        <f t="shared" si="12"/>
        <v>3.8208035995043517</v>
      </c>
      <c r="E184" s="120">
        <f t="shared" si="10"/>
        <v>5.9235926160761485</v>
      </c>
      <c r="F184" s="120">
        <f t="shared" si="15"/>
        <v>2.1030000000000002</v>
      </c>
    </row>
    <row r="185" spans="1:6" s="119" customFormat="1" x14ac:dyDescent="0.25">
      <c r="A185" s="107"/>
      <c r="C185" s="120">
        <f t="shared" si="11"/>
        <v>6.7999999999999977E-2</v>
      </c>
      <c r="D185" s="120">
        <f t="shared" si="12"/>
        <v>3.8348249442368525</v>
      </c>
      <c r="E185" s="120">
        <f t="shared" si="10"/>
        <v>5.9229883323354287</v>
      </c>
      <c r="F185" s="120">
        <f>ROUND(ABS(D185-E185),3)</f>
        <v>2.0880000000000001</v>
      </c>
    </row>
    <row r="186" spans="1:6" s="119" customFormat="1" x14ac:dyDescent="0.25">
      <c r="A186" s="107"/>
      <c r="C186" s="120">
        <f t="shared" si="11"/>
        <v>6.7499999999999977E-2</v>
      </c>
      <c r="D186" s="120">
        <f t="shared" si="12"/>
        <v>3.8490017945975055</v>
      </c>
      <c r="E186" s="120">
        <f t="shared" ref="E186:E249" si="16">-2*LOG10(((2.51/($D$117*SQRT(C186)))+(0.269*$G$117)))</f>
        <v>5.9223777738288117</v>
      </c>
      <c r="F186" s="120">
        <f t="shared" ref="F186:F249" si="17">ROUND(ABS(D186-E186),3)</f>
        <v>2.073</v>
      </c>
    </row>
    <row r="187" spans="1:6" s="119" customFormat="1" x14ac:dyDescent="0.25">
      <c r="A187" s="107"/>
      <c r="C187" s="120">
        <f t="shared" ref="C187:C250" si="18">C186-0.0005</f>
        <v>6.6999999999999976E-2</v>
      </c>
      <c r="D187" s="120">
        <f t="shared" ref="D187:D250" si="19">1/SQRT(C187)</f>
        <v>3.8633370464312797</v>
      </c>
      <c r="E187" s="120">
        <f t="shared" si="16"/>
        <v>5.9217608294920074</v>
      </c>
      <c r="F187" s="120">
        <f t="shared" si="17"/>
        <v>2.0579999999999998</v>
      </c>
    </row>
    <row r="188" spans="1:6" s="119" customFormat="1" x14ac:dyDescent="0.25">
      <c r="A188" s="107"/>
      <c r="C188" s="120">
        <f t="shared" si="18"/>
        <v>6.6499999999999976E-2</v>
      </c>
      <c r="D188" s="120">
        <f t="shared" si="19"/>
        <v>3.8778336716474073</v>
      </c>
      <c r="E188" s="120">
        <f t="shared" si="16"/>
        <v>5.9211373854641201</v>
      </c>
      <c r="F188" s="120">
        <f t="shared" si="17"/>
        <v>2.0430000000000001</v>
      </c>
    </row>
    <row r="189" spans="1:6" s="119" customFormat="1" x14ac:dyDescent="0.25">
      <c r="A189" s="107"/>
      <c r="C189" s="120">
        <f t="shared" si="18"/>
        <v>6.5999999999999975E-2</v>
      </c>
      <c r="D189" s="120">
        <f t="shared" si="19"/>
        <v>3.892494720807615</v>
      </c>
      <c r="E189" s="120">
        <f t="shared" si="16"/>
        <v>5.9205073249959099</v>
      </c>
      <c r="F189" s="120">
        <f t="shared" si="17"/>
        <v>2.028</v>
      </c>
    </row>
    <row r="190" spans="1:6" s="119" customFormat="1" x14ac:dyDescent="0.25">
      <c r="A190" s="107"/>
      <c r="C190" s="120">
        <f t="shared" si="18"/>
        <v>6.5499999999999975E-2</v>
      </c>
      <c r="D190" s="120">
        <f t="shared" si="19"/>
        <v>3.9073233258228188</v>
      </c>
      <c r="E190" s="120">
        <f t="shared" si="16"/>
        <v>5.9198705283543331</v>
      </c>
      <c r="F190" s="120">
        <f t="shared" si="17"/>
        <v>2.0129999999999999</v>
      </c>
    </row>
    <row r="191" spans="1:6" s="119" customFormat="1" x14ac:dyDescent="0.25">
      <c r="A191" s="107"/>
      <c r="C191" s="120">
        <f t="shared" si="18"/>
        <v>6.4999999999999974E-2</v>
      </c>
      <c r="D191" s="120">
        <f t="shared" si="19"/>
        <v>3.9223227027636813</v>
      </c>
      <c r="E191" s="120">
        <f t="shared" si="16"/>
        <v>5.9192268727231836</v>
      </c>
      <c r="F191" s="120">
        <f t="shared" si="17"/>
        <v>1.9970000000000001</v>
      </c>
    </row>
    <row r="192" spans="1:6" s="119" customFormat="1" x14ac:dyDescent="0.25">
      <c r="A192" s="107"/>
      <c r="C192" s="120">
        <f t="shared" si="18"/>
        <v>6.4499999999999974E-2</v>
      </c>
      <c r="D192" s="120">
        <f t="shared" si="19"/>
        <v>3.9374961547907898</v>
      </c>
      <c r="E192" s="120">
        <f t="shared" si="16"/>
        <v>5.9185762320996433</v>
      </c>
      <c r="F192" s="120">
        <f t="shared" si="17"/>
        <v>1.9810000000000001</v>
      </c>
    </row>
    <row r="193" spans="1:6" s="119" customFormat="1" x14ac:dyDescent="0.25">
      <c r="A193" s="107"/>
      <c r="C193" s="120">
        <f t="shared" si="18"/>
        <v>6.3999999999999974E-2</v>
      </c>
      <c r="D193" s="120">
        <f t="shared" si="19"/>
        <v>3.9528470752104754</v>
      </c>
      <c r="E193" s="120">
        <f t="shared" si="16"/>
        <v>5.9179184771865314</v>
      </c>
      <c r="F193" s="120">
        <f t="shared" si="17"/>
        <v>1.9650000000000001</v>
      </c>
    </row>
    <row r="194" spans="1:6" s="119" customFormat="1" x14ac:dyDescent="0.25">
      <c r="A194" s="107"/>
      <c r="C194" s="120">
        <f t="shared" si="18"/>
        <v>6.3499999999999973E-2</v>
      </c>
      <c r="D194" s="120">
        <f t="shared" si="19"/>
        <v>3.9683789506627258</v>
      </c>
      <c r="E194" s="120">
        <f t="shared" si="16"/>
        <v>5.9172534752800603</v>
      </c>
      <c r="F194" s="120">
        <f t="shared" si="17"/>
        <v>1.9490000000000001</v>
      </c>
    </row>
    <row r="195" spans="1:6" s="119" customFormat="1" x14ac:dyDescent="0.25">
      <c r="A195" s="107"/>
      <c r="C195" s="120">
        <f t="shared" si="18"/>
        <v>6.2999999999999973E-2</v>
      </c>
      <c r="D195" s="120">
        <f t="shared" si="19"/>
        <v>3.9840953644479802</v>
      </c>
      <c r="E195" s="120">
        <f t="shared" si="16"/>
        <v>5.9165810901528486</v>
      </c>
      <c r="F195" s="120">
        <f t="shared" si="17"/>
        <v>1.9319999999999999</v>
      </c>
    </row>
    <row r="196" spans="1:6" s="119" customFormat="1" x14ac:dyDescent="0.25">
      <c r="A196" s="107"/>
      <c r="C196" s="120">
        <f t="shared" si="18"/>
        <v>6.2499999999999972E-2</v>
      </c>
      <c r="D196" s="120">
        <f t="shared" si="19"/>
        <v>4.0000000000000009</v>
      </c>
      <c r="E196" s="120">
        <f t="shared" si="16"/>
        <v>5.9159011819319698</v>
      </c>
      <c r="F196" s="120">
        <f t="shared" si="17"/>
        <v>1.9159999999999999</v>
      </c>
    </row>
    <row r="197" spans="1:6" s="119" customFormat="1" x14ac:dyDescent="0.25">
      <c r="A197" s="107"/>
      <c r="C197" s="120">
        <f t="shared" si="18"/>
        <v>6.1999999999999972E-2</v>
      </c>
      <c r="D197" s="120">
        <f t="shared" si="19"/>
        <v>4.016096644512495</v>
      </c>
      <c r="E197" s="120">
        <f t="shared" si="16"/>
        <v>5.9152136069717827</v>
      </c>
      <c r="F197" s="120">
        <f t="shared" si="17"/>
        <v>1.899</v>
      </c>
    </row>
    <row r="198" spans="1:6" s="119" customFormat="1" x14ac:dyDescent="0.25">
      <c r="A198" s="107"/>
      <c r="C198" s="120">
        <f t="shared" si="18"/>
        <v>6.1499999999999971E-2</v>
      </c>
      <c r="D198" s="120">
        <f t="shared" si="19"/>
        <v>4.0323891927275604</v>
      </c>
      <c r="E198" s="120">
        <f t="shared" si="16"/>
        <v>5.9145182177212643</v>
      </c>
      <c r="F198" s="120">
        <f t="shared" si="17"/>
        <v>1.8819999999999999</v>
      </c>
    </row>
    <row r="199" spans="1:6" s="119" customFormat="1" x14ac:dyDescent="0.25">
      <c r="A199" s="107"/>
      <c r="C199" s="120">
        <f t="shared" si="18"/>
        <v>6.0999999999999971E-2</v>
      </c>
      <c r="D199" s="120">
        <f t="shared" si="19"/>
        <v>4.0488816508945806</v>
      </c>
      <c r="E199" s="120">
        <f t="shared" si="16"/>
        <v>5.9138148625855775</v>
      </c>
      <c r="F199" s="120">
        <f t="shared" si="17"/>
        <v>1.865</v>
      </c>
    </row>
    <row r="200" spans="1:6" s="119" customFormat="1" x14ac:dyDescent="0.25">
      <c r="A200" s="107"/>
      <c r="C200" s="120">
        <f t="shared" si="18"/>
        <v>6.049999999999997E-2</v>
      </c>
      <c r="D200" s="120">
        <f t="shared" si="19"/>
        <v>4.0655781409087099</v>
      </c>
      <c r="E200" s="120">
        <f t="shared" si="16"/>
        <v>5.9131033857815645</v>
      </c>
      <c r="F200" s="120">
        <f t="shared" si="17"/>
        <v>1.8480000000000001</v>
      </c>
    </row>
    <row r="201" spans="1:6" s="119" customFormat="1" x14ac:dyDescent="0.25">
      <c r="A201" s="107"/>
      <c r="C201" s="120">
        <f t="shared" si="18"/>
        <v>5.999999999999997E-2</v>
      </c>
      <c r="D201" s="120">
        <f t="shared" si="19"/>
        <v>4.0824829046386313</v>
      </c>
      <c r="E201" s="120">
        <f t="shared" si="16"/>
        <v>5.9123836271868466</v>
      </c>
      <c r="F201" s="120">
        <f t="shared" si="17"/>
        <v>1.83</v>
      </c>
    </row>
    <row r="202" spans="1:6" s="119" customFormat="1" x14ac:dyDescent="0.25">
      <c r="A202" s="107"/>
      <c r="C202" s="120">
        <f t="shared" si="18"/>
        <v>5.949999999999997E-2</v>
      </c>
      <c r="D202" s="120">
        <f t="shared" si="19"/>
        <v>4.0996003084539403</v>
      </c>
      <c r="E202" s="120">
        <f t="shared" si="16"/>
        <v>5.9116554221822009</v>
      </c>
      <c r="F202" s="120">
        <f t="shared" si="17"/>
        <v>1.8120000000000001</v>
      </c>
    </row>
    <row r="203" spans="1:6" s="119" customFormat="1" x14ac:dyDescent="0.25">
      <c r="A203" s="107"/>
      <c r="C203" s="120">
        <f t="shared" si="18"/>
        <v>5.8999999999999969E-2</v>
      </c>
      <c r="D203" s="120">
        <f t="shared" si="19"/>
        <v>4.1169348479630923</v>
      </c>
      <c r="E203" s="120">
        <f t="shared" si="16"/>
        <v>5.910918601486844</v>
      </c>
      <c r="F203" s="120">
        <f t="shared" si="17"/>
        <v>1.794</v>
      </c>
    </row>
    <row r="204" spans="1:6" s="119" customFormat="1" x14ac:dyDescent="0.25">
      <c r="A204" s="107"/>
      <c r="C204" s="120">
        <f t="shared" si="18"/>
        <v>5.8499999999999969E-2</v>
      </c>
      <c r="D204" s="120">
        <f t="shared" si="19"/>
        <v>4.1344911529736166</v>
      </c>
      <c r="E204" s="120">
        <f t="shared" si="16"/>
        <v>5.9101729909862488</v>
      </c>
      <c r="F204" s="120">
        <f t="shared" si="17"/>
        <v>1.776</v>
      </c>
    </row>
    <row r="205" spans="1:6" s="119" customFormat="1" x14ac:dyDescent="0.25">
      <c r="A205" s="107"/>
      <c r="C205" s="120">
        <f t="shared" si="18"/>
        <v>5.7999999999999968E-2</v>
      </c>
      <c r="D205" s="120">
        <f t="shared" si="19"/>
        <v>4.1522739926869994</v>
      </c>
      <c r="E205" s="120">
        <f t="shared" si="16"/>
        <v>5.9094184115520907</v>
      </c>
      <c r="F205" s="120">
        <f t="shared" si="17"/>
        <v>1.7569999999999999</v>
      </c>
    </row>
    <row r="206" spans="1:6" s="119" customFormat="1" x14ac:dyDescent="0.25">
      <c r="A206" s="107"/>
      <c r="C206" s="120">
        <f t="shared" si="18"/>
        <v>5.7499999999999968E-2</v>
      </c>
      <c r="D206" s="120">
        <f t="shared" si="19"/>
        <v>4.170288281141497</v>
      </c>
      <c r="E206" s="120">
        <f t="shared" si="16"/>
        <v>5.9086546788538854</v>
      </c>
      <c r="F206" s="120">
        <f t="shared" si="17"/>
        <v>1.738</v>
      </c>
    </row>
    <row r="207" spans="1:6" s="119" customFormat="1" x14ac:dyDescent="0.25">
      <c r="A207" s="107"/>
      <c r="C207" s="120">
        <f t="shared" si="18"/>
        <v>5.6999999999999967E-2</v>
      </c>
      <c r="D207" s="120">
        <f t="shared" si="19"/>
        <v>4.1885390829169564</v>
      </c>
      <c r="E207" s="120">
        <f t="shared" si="16"/>
        <v>5.9078816031618677</v>
      </c>
      <c r="F207" s="120">
        <f t="shared" si="17"/>
        <v>1.7190000000000001</v>
      </c>
    </row>
    <row r="208" spans="1:6" s="119" customFormat="1" x14ac:dyDescent="0.25">
      <c r="A208" s="107"/>
      <c r="C208" s="120">
        <f t="shared" si="18"/>
        <v>5.6499999999999967E-2</v>
      </c>
      <c r="D208" s="120">
        <f t="shared" si="19"/>
        <v>4.2070316191167132</v>
      </c>
      <c r="E208" s="120">
        <f t="shared" si="16"/>
        <v>5.9070989891406196</v>
      </c>
      <c r="F208" s="120">
        <f t="shared" si="17"/>
        <v>1.7</v>
      </c>
    </row>
    <row r="209" spans="1:23" s="119" customFormat="1" x14ac:dyDescent="0.25">
      <c r="A209" s="107"/>
      <c r="C209" s="120">
        <f t="shared" si="18"/>
        <v>5.5999999999999966E-2</v>
      </c>
      <c r="D209" s="120">
        <f t="shared" si="19"/>
        <v>4.2257712736425841</v>
      </c>
      <c r="E209" s="120">
        <f t="shared" si="16"/>
        <v>5.9063066356329292</v>
      </c>
      <c r="F209" s="120">
        <f t="shared" si="17"/>
        <v>1.681</v>
      </c>
    </row>
    <row r="210" spans="1:23" s="119" customFormat="1" x14ac:dyDescent="0.25">
      <c r="A210" s="107"/>
      <c r="C210" s="120">
        <f t="shared" si="18"/>
        <v>5.5499999999999966E-2</v>
      </c>
      <c r="D210" s="120">
        <f t="shared" si="19"/>
        <v>4.2447635997800903</v>
      </c>
      <c r="E210" s="120">
        <f t="shared" si="16"/>
        <v>5.9055043354333288</v>
      </c>
      <c r="F210" s="120">
        <f t="shared" si="17"/>
        <v>1.661</v>
      </c>
    </row>
    <row r="211" spans="1:23" s="119" customFormat="1" x14ac:dyDescent="0.25">
      <c r="A211" s="107"/>
      <c r="C211" s="120">
        <f t="shared" si="18"/>
        <v>5.4999999999999966E-2</v>
      </c>
      <c r="D211" s="120">
        <f t="shared" si="19"/>
        <v>4.2640143271122097</v>
      </c>
      <c r="E211" s="120">
        <f t="shared" si="16"/>
        <v>5.904691875050716</v>
      </c>
      <c r="F211" s="120">
        <f t="shared" si="17"/>
        <v>1.641</v>
      </c>
    </row>
    <row r="212" spans="1:23" s="119" customFormat="1" x14ac:dyDescent="0.25">
      <c r="A212" s="107"/>
      <c r="C212" s="120">
        <f t="shared" si="18"/>
        <v>5.4499999999999965E-2</v>
      </c>
      <c r="D212" s="120">
        <f t="shared" si="19"/>
        <v>4.2835293687811946</v>
      </c>
      <c r="E212" s="120">
        <f t="shared" si="16"/>
        <v>5.9038690344594462</v>
      </c>
      <c r="F212" s="120">
        <f t="shared" si="17"/>
        <v>1.62</v>
      </c>
    </row>
    <row r="213" spans="1:23" s="119" customFormat="1" x14ac:dyDescent="0.25">
      <c r="A213" s="107"/>
      <c r="C213" s="120">
        <f t="shared" si="18"/>
        <v>5.3999999999999965E-2</v>
      </c>
      <c r="D213" s="120">
        <f t="shared" si="19"/>
        <v>4.303314829119353</v>
      </c>
      <c r="E213" s="120">
        <f t="shared" si="16"/>
        <v>5.9030355868381958</v>
      </c>
      <c r="F213" s="120">
        <f t="shared" si="17"/>
        <v>1.6</v>
      </c>
    </row>
    <row r="214" spans="1:23" s="119" customFormat="1" x14ac:dyDescent="0.25">
      <c r="A214" s="107"/>
      <c r="C214" s="120">
        <f t="shared" si="18"/>
        <v>5.3499999999999964E-2</v>
      </c>
      <c r="D214" s="120">
        <f t="shared" si="19"/>
        <v>4.3233770116711705</v>
      </c>
      <c r="E214" s="120">
        <f t="shared" si="16"/>
        <v>5.902191298295909</v>
      </c>
      <c r="F214" s="120">
        <f t="shared" si="17"/>
        <v>1.579</v>
      </c>
    </row>
    <row r="215" spans="1:23" s="119" customFormat="1" x14ac:dyDescent="0.25">
      <c r="A215" s="107"/>
      <c r="C215" s="120">
        <f t="shared" si="18"/>
        <v>5.2999999999999964E-2</v>
      </c>
      <c r="D215" s="120">
        <f t="shared" si="19"/>
        <v>4.3437224276306958</v>
      </c>
      <c r="E215" s="120">
        <f t="shared" si="16"/>
        <v>5.9013359275840411</v>
      </c>
      <c r="F215" s="120">
        <f t="shared" si="17"/>
        <v>1.5580000000000001</v>
      </c>
    </row>
    <row r="216" spans="1:23" s="119" customFormat="1" x14ac:dyDescent="0.25">
      <c r="A216" s="107"/>
      <c r="C216" s="120">
        <f t="shared" si="18"/>
        <v>5.2499999999999963E-2</v>
      </c>
      <c r="D216" s="120">
        <f t="shared" si="19"/>
        <v>4.364357804719849</v>
      </c>
      <c r="E216" s="120">
        <f t="shared" si="16"/>
        <v>5.9004692257942937</v>
      </c>
      <c r="F216" s="120">
        <f t="shared" si="17"/>
        <v>1.536</v>
      </c>
    </row>
    <row r="217" spans="1:23" s="119" customFormat="1" x14ac:dyDescent="0.25">
      <c r="A217" s="107"/>
      <c r="C217" s="120">
        <f t="shared" si="18"/>
        <v>5.1999999999999963E-2</v>
      </c>
      <c r="D217" s="120">
        <f t="shared" si="19"/>
        <v>4.3852900965351473</v>
      </c>
      <c r="E217" s="120">
        <f t="shared" si="16"/>
        <v>5.8995909360409486</v>
      </c>
      <c r="F217" s="120">
        <f t="shared" si="17"/>
        <v>1.514</v>
      </c>
    </row>
    <row r="218" spans="1:23" s="119" customFormat="1" x14ac:dyDescent="0.25">
      <c r="A218" s="107"/>
      <c r="C218" s="120">
        <f t="shared" si="18"/>
        <v>5.1499999999999962E-2</v>
      </c>
      <c r="D218" s="120">
        <f t="shared" si="19"/>
        <v>4.4065264923923193</v>
      </c>
      <c r="E218" s="120">
        <f t="shared" si="16"/>
        <v>5.8987007931268822</v>
      </c>
      <c r="F218" s="120">
        <f t="shared" si="17"/>
        <v>1.492</v>
      </c>
    </row>
    <row r="219" spans="1:23" s="119" customFormat="1" x14ac:dyDescent="0.25">
      <c r="A219" s="107"/>
      <c r="C219" s="120">
        <f t="shared" si="18"/>
        <v>5.0999999999999962E-2</v>
      </c>
      <c r="D219" s="120">
        <f t="shared" si="19"/>
        <v>4.4280744277004782</v>
      </c>
      <c r="E219" s="120">
        <f t="shared" si="16"/>
        <v>5.8977985231922325</v>
      </c>
      <c r="F219" s="120">
        <f t="shared" si="17"/>
        <v>1.47</v>
      </c>
    </row>
    <row r="220" spans="1:23" s="119" customFormat="1" x14ac:dyDescent="0.25">
      <c r="A220" s="107"/>
      <c r="C220" s="120">
        <f t="shared" si="18"/>
        <v>5.0499999999999962E-2</v>
      </c>
      <c r="D220" s="120">
        <f t="shared" si="19"/>
        <v>4.4499415948998493</v>
      </c>
      <c r="E220" s="120">
        <f t="shared" si="16"/>
        <v>5.896883843344666</v>
      </c>
      <c r="F220" s="120">
        <f t="shared" si="17"/>
        <v>1.4470000000000001</v>
      </c>
    </row>
    <row r="221" spans="1:23" s="119" customFormat="1" x14ac:dyDescent="0.25">
      <c r="A221" s="107"/>
      <c r="C221" s="120">
        <f t="shared" si="18"/>
        <v>4.9999999999999961E-2</v>
      </c>
      <c r="D221" s="120">
        <f t="shared" si="19"/>
        <v>4.4721359549995814</v>
      </c>
      <c r="E221" s="120">
        <f t="shared" si="16"/>
        <v>5.8959564612700648</v>
      </c>
      <c r="F221" s="120">
        <f t="shared" si="17"/>
        <v>1.4239999999999999</v>
      </c>
      <c r="H221" s="120"/>
      <c r="I221" s="120"/>
      <c r="V221" s="120"/>
      <c r="W221" s="122"/>
    </row>
    <row r="222" spans="1:23" s="119" customFormat="1" x14ac:dyDescent="0.25">
      <c r="A222" s="107"/>
      <c r="C222" s="120">
        <f t="shared" si="18"/>
        <v>4.9499999999999961E-2</v>
      </c>
      <c r="D222" s="120">
        <f t="shared" si="19"/>
        <v>4.4946657497549491</v>
      </c>
      <c r="E222" s="120">
        <f t="shared" si="16"/>
        <v>5.8950160748224105</v>
      </c>
      <c r="F222" s="120">
        <f t="shared" si="17"/>
        <v>1.4</v>
      </c>
      <c r="H222" s="120"/>
      <c r="I222" s="120"/>
    </row>
    <row r="223" spans="1:23" s="119" customFormat="1" ht="15.75" x14ac:dyDescent="0.25">
      <c r="A223" s="107"/>
      <c r="C223" s="120">
        <f t="shared" si="18"/>
        <v>4.899999999999996E-2</v>
      </c>
      <c r="D223" s="120">
        <f t="shared" si="19"/>
        <v>4.5175395145262582</v>
      </c>
      <c r="E223" s="120">
        <f t="shared" si="16"/>
        <v>5.8940623715915237</v>
      </c>
      <c r="F223" s="120">
        <f t="shared" si="17"/>
        <v>1.377</v>
      </c>
      <c r="V223" s="123"/>
      <c r="W223" s="124"/>
    </row>
    <row r="224" spans="1:23" s="119" customFormat="1" x14ac:dyDescent="0.25">
      <c r="A224" s="107"/>
      <c r="C224" s="120">
        <f t="shared" si="18"/>
        <v>4.849999999999996E-2</v>
      </c>
      <c r="D224" s="120">
        <f t="shared" si="19"/>
        <v>4.5407660918649997</v>
      </c>
      <c r="E224" s="120">
        <f t="shared" si="16"/>
        <v>5.8930950284472328</v>
      </c>
      <c r="F224" s="120">
        <f t="shared" si="17"/>
        <v>1.3520000000000001</v>
      </c>
    </row>
    <row r="225" spans="1:8" s="119" customFormat="1" x14ac:dyDescent="0.25">
      <c r="A225" s="107"/>
      <c r="C225" s="120">
        <f t="shared" si="18"/>
        <v>4.7999999999999959E-2</v>
      </c>
      <c r="D225" s="120">
        <f t="shared" si="19"/>
        <v>4.5643546458763868</v>
      </c>
      <c r="E225" s="120">
        <f t="shared" si="16"/>
        <v>5.8921137110584203</v>
      </c>
      <c r="F225" s="120">
        <f t="shared" si="17"/>
        <v>1.3280000000000001</v>
      </c>
    </row>
    <row r="226" spans="1:8" s="119" customFormat="1" x14ac:dyDescent="0.25">
      <c r="A226" s="107"/>
      <c r="C226" s="120">
        <f t="shared" si="18"/>
        <v>4.7499999999999959E-2</v>
      </c>
      <c r="D226" s="120">
        <f t="shared" si="19"/>
        <v>4.5883146774112369</v>
      </c>
      <c r="E226" s="120">
        <f t="shared" si="16"/>
        <v>5.8911180733853064</v>
      </c>
      <c r="F226" s="120">
        <f t="shared" si="17"/>
        <v>1.3029999999999999</v>
      </c>
    </row>
    <row r="227" spans="1:8" s="119" customFormat="1" x14ac:dyDescent="0.25">
      <c r="A227" s="107"/>
      <c r="C227" s="120">
        <f t="shared" si="18"/>
        <v>4.6999999999999958E-2</v>
      </c>
      <c r="D227" s="120">
        <f t="shared" si="19"/>
        <v>4.6126560401444276</v>
      </c>
      <c r="E227" s="120">
        <f t="shared" si="16"/>
        <v>5.8901077571431637</v>
      </c>
      <c r="F227" s="120">
        <f t="shared" si="17"/>
        <v>1.2769999999999999</v>
      </c>
    </row>
    <row r="228" spans="1:8" s="119" customFormat="1" x14ac:dyDescent="0.25">
      <c r="A228" s="107"/>
      <c r="C228" s="120">
        <f t="shared" si="18"/>
        <v>4.6499999999999958E-2</v>
      </c>
      <c r="D228" s="120">
        <f t="shared" si="19"/>
        <v>4.6373889576016847</v>
      </c>
      <c r="E228" s="120">
        <f t="shared" si="16"/>
        <v>5.8890823912355525</v>
      </c>
      <c r="F228" s="120">
        <f t="shared" si="17"/>
        <v>1.252</v>
      </c>
    </row>
    <row r="229" spans="1:8" s="119" customFormat="1" x14ac:dyDescent="0.25">
      <c r="A229" s="107"/>
      <c r="C229" s="120">
        <f t="shared" si="18"/>
        <v>4.5999999999999958E-2</v>
      </c>
      <c r="D229" s="120">
        <f t="shared" si="19"/>
        <v>4.6625240412015705</v>
      </c>
      <c r="E229" s="120">
        <f t="shared" si="16"/>
        <v>5.8880415911549937</v>
      </c>
      <c r="F229" s="120">
        <f t="shared" si="17"/>
        <v>1.226</v>
      </c>
    </row>
    <row r="230" spans="1:8" s="119" customFormat="1" x14ac:dyDescent="0.25">
      <c r="A230" s="107"/>
      <c r="B230" s="127"/>
      <c r="C230" s="120">
        <f t="shared" si="18"/>
        <v>4.5499999999999957E-2</v>
      </c>
      <c r="D230" s="120">
        <f t="shared" si="19"/>
        <v>4.6880723093849568</v>
      </c>
      <c r="E230" s="120">
        <f t="shared" si="16"/>
        <v>5.8869849583488341</v>
      </c>
      <c r="F230" s="120">
        <f t="shared" si="17"/>
        <v>1.1990000000000001</v>
      </c>
    </row>
    <row r="231" spans="1:8" s="119" customFormat="1" x14ac:dyDescent="0.25">
      <c r="A231" s="107"/>
      <c r="B231" s="128"/>
      <c r="C231" s="120">
        <f t="shared" si="18"/>
        <v>4.4999999999999957E-2</v>
      </c>
      <c r="D231" s="120">
        <f t="shared" si="19"/>
        <v>4.7140452079103197</v>
      </c>
      <c r="E231" s="120">
        <f t="shared" si="16"/>
        <v>5.8859120795478779</v>
      </c>
      <c r="F231" s="120">
        <f t="shared" si="17"/>
        <v>1.1719999999999999</v>
      </c>
    </row>
    <row r="232" spans="1:8" s="119" customFormat="1" x14ac:dyDescent="0.25">
      <c r="A232" s="107"/>
      <c r="B232" s="128"/>
      <c r="C232" s="120">
        <f t="shared" si="18"/>
        <v>4.4499999999999956E-2</v>
      </c>
      <c r="D232" s="120">
        <f t="shared" si="19"/>
        <v>4.7404546313997749</v>
      </c>
      <c r="E232" s="120">
        <f t="shared" si="16"/>
        <v>5.8848225260551796</v>
      </c>
      <c r="F232" s="120">
        <f t="shared" si="17"/>
        <v>1.1439999999999999</v>
      </c>
    </row>
    <row r="233" spans="1:8" s="119" customFormat="1" x14ac:dyDescent="0.25">
      <c r="A233" s="107"/>
      <c r="B233" s="128"/>
      <c r="C233" s="120">
        <f t="shared" si="18"/>
        <v>4.3999999999999956E-2</v>
      </c>
      <c r="D233" s="120">
        <f t="shared" si="19"/>
        <v>4.767312946227964</v>
      </c>
      <c r="E233" s="120">
        <f t="shared" si="16"/>
        <v>5.8837158529921343</v>
      </c>
      <c r="F233" s="120">
        <f t="shared" si="17"/>
        <v>1.1160000000000001</v>
      </c>
    </row>
    <row r="234" spans="1:8" s="119" customFormat="1" x14ac:dyDescent="0.25">
      <c r="A234" s="107"/>
      <c r="B234" s="128"/>
      <c r="C234" s="120">
        <f t="shared" si="18"/>
        <v>4.3499999999999955E-2</v>
      </c>
      <c r="D234" s="120">
        <f t="shared" si="19"/>
        <v>4.7946330148538445</v>
      </c>
      <c r="E234" s="120">
        <f t="shared" si="16"/>
        <v>5.8825915984988111</v>
      </c>
      <c r="F234" s="120">
        <f t="shared" si="17"/>
        <v>1.0880000000000001</v>
      </c>
    </row>
    <row r="235" spans="1:8" s="119" customFormat="1" x14ac:dyDescent="0.25">
      <c r="A235" s="107"/>
      <c r="B235" s="128"/>
      <c r="C235" s="120">
        <f t="shared" si="18"/>
        <v>4.2999999999999955E-2</v>
      </c>
      <c r="D235" s="120">
        <f t="shared" si="19"/>
        <v>4.8224282217041239</v>
      </c>
      <c r="E235" s="120">
        <f t="shared" si="16"/>
        <v>5.881449282885197</v>
      </c>
      <c r="F235" s="120">
        <f t="shared" si="17"/>
        <v>1.0589999999999999</v>
      </c>
    </row>
    <row r="236" spans="1:8" s="119" customFormat="1" x14ac:dyDescent="0.25">
      <c r="A236" s="107"/>
      <c r="B236" s="128"/>
      <c r="C236" s="120">
        <f t="shared" si="18"/>
        <v>4.2499999999999954E-2</v>
      </c>
      <c r="D236" s="120">
        <f t="shared" si="19"/>
        <v>4.8507125007266616</v>
      </c>
      <c r="E236" s="120">
        <f t="shared" si="16"/>
        <v>5.8802884077297177</v>
      </c>
      <c r="F236" s="120">
        <f t="shared" si="17"/>
        <v>1.03</v>
      </c>
    </row>
    <row r="237" spans="1:8" s="119" customFormat="1" x14ac:dyDescent="0.25">
      <c r="A237" s="107"/>
      <c r="B237" s="128"/>
      <c r="C237" s="120">
        <f>C236-0.0005</f>
        <v>4.1999999999999954E-2</v>
      </c>
      <c r="D237" s="120">
        <f t="shared" si="19"/>
        <v>4.8795003647426691</v>
      </c>
      <c r="E237" s="120">
        <f t="shared" si="16"/>
        <v>5.8791084549211226</v>
      </c>
      <c r="F237" s="120">
        <f t="shared" si="17"/>
        <v>1</v>
      </c>
      <c r="H237" s="129"/>
    </row>
    <row r="238" spans="1:8" s="119" customFormat="1" x14ac:dyDescent="0.25">
      <c r="A238" s="107"/>
      <c r="B238" s="128"/>
      <c r="C238" s="120">
        <f t="shared" si="18"/>
        <v>4.1499999999999954E-2</v>
      </c>
      <c r="D238" s="120">
        <f t="shared" si="19"/>
        <v>4.9088069367381628</v>
      </c>
      <c r="E238" s="120">
        <f t="shared" si="16"/>
        <v>5.8779088856394539</v>
      </c>
      <c r="F238" s="120">
        <f t="shared" si="17"/>
        <v>0.96899999999999997</v>
      </c>
      <c r="H238" s="129"/>
    </row>
    <row r="239" spans="1:8" s="119" customFormat="1" x14ac:dyDescent="0.25">
      <c r="A239" s="107"/>
      <c r="B239" s="128"/>
      <c r="C239" s="120">
        <f t="shared" si="18"/>
        <v>4.0999999999999953E-2</v>
      </c>
      <c r="D239" s="120">
        <f t="shared" si="19"/>
        <v>4.9386479832479511</v>
      </c>
      <c r="E239" s="120">
        <f t="shared" si="16"/>
        <v>5.876689139271452</v>
      </c>
      <c r="F239" s="120">
        <f t="shared" si="17"/>
        <v>0.93799999999999994</v>
      </c>
      <c r="H239" s="129" t="s">
        <v>211</v>
      </c>
    </row>
    <row r="240" spans="1:8" s="119" customFormat="1" x14ac:dyDescent="0.25">
      <c r="A240" s="107"/>
      <c r="B240" s="128"/>
      <c r="C240" s="120">
        <f t="shared" si="18"/>
        <v>4.0499999999999953E-2</v>
      </c>
      <c r="D240" s="120">
        <f t="shared" si="19"/>
        <v>4.9690399499995355</v>
      </c>
      <c r="E240" s="120">
        <f t="shared" si="16"/>
        <v>5.8754486322553321</v>
      </c>
      <c r="F240" s="120">
        <f t="shared" si="17"/>
        <v>0.90600000000000003</v>
      </c>
    </row>
    <row r="241" spans="1:6" s="119" customFormat="1" x14ac:dyDescent="0.25">
      <c r="A241" s="107"/>
      <c r="B241" s="128"/>
      <c r="C241" s="120">
        <f t="shared" si="18"/>
        <v>3.9999999999999952E-2</v>
      </c>
      <c r="D241" s="120">
        <f t="shared" si="19"/>
        <v>5.0000000000000036</v>
      </c>
      <c r="E241" s="120">
        <f t="shared" si="16"/>
        <v>5.8741867568494079</v>
      </c>
      <c r="F241" s="120">
        <f t="shared" si="17"/>
        <v>0.874</v>
      </c>
    </row>
    <row r="242" spans="1:6" s="119" customFormat="1" x14ac:dyDescent="0.25">
      <c r="A242" s="107"/>
      <c r="B242" s="128"/>
      <c r="C242" s="120">
        <f t="shared" si="18"/>
        <v>3.9499999999999952E-2</v>
      </c>
      <c r="D242" s="120">
        <f t="shared" si="19"/>
        <v>5.0315460542662791</v>
      </c>
      <c r="E242" s="120">
        <f t="shared" si="16"/>
        <v>5.8729028798185254</v>
      </c>
      <c r="F242" s="120">
        <f t="shared" si="17"/>
        <v>0.84099999999999997</v>
      </c>
    </row>
    <row r="243" spans="1:6" s="119" customFormat="1" x14ac:dyDescent="0.25">
      <c r="A243" s="107"/>
      <c r="B243" s="128"/>
      <c r="C243" s="120">
        <f t="shared" si="18"/>
        <v>3.8999999999999951E-2</v>
      </c>
      <c r="D243" s="120">
        <f t="shared" si="19"/>
        <v>5.0636968354183365</v>
      </c>
      <c r="E243" s="120">
        <f t="shared" si="16"/>
        <v>5.8715963410317338</v>
      </c>
      <c r="F243" s="120">
        <f t="shared" si="17"/>
        <v>0.80800000000000005</v>
      </c>
    </row>
    <row r="244" spans="1:6" s="119" customFormat="1" x14ac:dyDescent="0.25">
      <c r="A244" s="107"/>
      <c r="B244" s="128"/>
      <c r="C244" s="120">
        <f t="shared" si="18"/>
        <v>3.8499999999999951E-2</v>
      </c>
      <c r="D244" s="120">
        <f t="shared" si="19"/>
        <v>5.0964719143762585</v>
      </c>
      <c r="E244" s="120">
        <f t="shared" si="16"/>
        <v>5.8702664519639622</v>
      </c>
      <c r="F244" s="120">
        <f t="shared" si="17"/>
        <v>0.77400000000000002</v>
      </c>
    </row>
    <row r="245" spans="1:6" s="119" customFormat="1" x14ac:dyDescent="0.25">
      <c r="A245" s="107"/>
      <c r="B245" s="128"/>
      <c r="C245" s="120">
        <f t="shared" si="18"/>
        <v>3.799999999999995E-2</v>
      </c>
      <c r="D245" s="120">
        <f t="shared" si="19"/>
        <v>5.1298917604257737</v>
      </c>
      <c r="E245" s="120">
        <f t="shared" si="16"/>
        <v>5.868912494093828</v>
      </c>
      <c r="F245" s="120">
        <f t="shared" si="17"/>
        <v>0.73899999999999999</v>
      </c>
    </row>
    <row r="246" spans="1:6" s="119" customFormat="1" x14ac:dyDescent="0.25">
      <c r="A246" s="107"/>
      <c r="B246" s="128"/>
      <c r="C246" s="120">
        <f t="shared" si="18"/>
        <v>3.749999999999995E-2</v>
      </c>
      <c r="D246" s="120">
        <f t="shared" si="19"/>
        <v>5.163977794943226</v>
      </c>
      <c r="E246" s="120">
        <f t="shared" si="16"/>
        <v>5.8675337171888975</v>
      </c>
      <c r="F246" s="120">
        <f t="shared" si="17"/>
        <v>0.70399999999999996</v>
      </c>
    </row>
    <row r="247" spans="1:6" s="119" customFormat="1" x14ac:dyDescent="0.25">
      <c r="A247" s="107"/>
      <c r="B247" s="128"/>
      <c r="C247" s="120">
        <f t="shared" si="18"/>
        <v>3.699999999999995E-2</v>
      </c>
      <c r="D247" s="120">
        <f t="shared" si="19"/>
        <v>5.1987524491003674</v>
      </c>
      <c r="E247" s="120">
        <f t="shared" si="16"/>
        <v>5.866129337468915</v>
      </c>
      <c r="F247" s="120">
        <f t="shared" si="17"/>
        <v>0.66700000000000004</v>
      </c>
    </row>
    <row r="248" spans="1:6" s="119" customFormat="1" x14ac:dyDescent="0.25">
      <c r="A248" s="107"/>
      <c r="B248" s="128"/>
      <c r="C248" s="120">
        <f t="shared" si="18"/>
        <v>3.6499999999999949E-2</v>
      </c>
      <c r="D248" s="120">
        <f t="shared" si="19"/>
        <v>5.2342392259021411</v>
      </c>
      <c r="E248" s="120">
        <f t="shared" si="16"/>
        <v>5.8646985356365411</v>
      </c>
      <c r="F248" s="120">
        <f t="shared" si="17"/>
        <v>0.63</v>
      </c>
    </row>
    <row r="249" spans="1:6" s="119" customFormat="1" x14ac:dyDescent="0.25">
      <c r="A249" s="107"/>
      <c r="B249" s="128"/>
      <c r="C249" s="120">
        <f t="shared" si="18"/>
        <v>3.5999999999999949E-2</v>
      </c>
      <c r="D249" s="120">
        <f t="shared" si="19"/>
        <v>5.2704627669473023</v>
      </c>
      <c r="E249" s="120">
        <f t="shared" si="16"/>
        <v>5.8632404547641137</v>
      </c>
      <c r="F249" s="120">
        <f t="shared" si="17"/>
        <v>0.59299999999999997</v>
      </c>
    </row>
    <row r="250" spans="1:6" s="119" customFormat="1" x14ac:dyDescent="0.25">
      <c r="A250" s="107"/>
      <c r="B250" s="128"/>
      <c r="C250" s="120">
        <f t="shared" si="18"/>
        <v>3.5499999999999948E-2</v>
      </c>
      <c r="D250" s="120">
        <f t="shared" si="19"/>
        <v>5.3074489243427561</v>
      </c>
      <c r="E250" s="120">
        <f t="shared" ref="E250:E307" si="20">-2*LOG10(((2.51/($D$117*SQRT(C250)))+(0.269*$G$117)))</f>
        <v>5.8617541980237577</v>
      </c>
      <c r="F250" s="120">
        <f t="shared" ref="F250:F307" si="21">ROUND(ABS(D250-E250),3)</f>
        <v>0.55400000000000005</v>
      </c>
    </row>
    <row r="251" spans="1:6" s="119" customFormat="1" x14ac:dyDescent="0.25">
      <c r="A251" s="107"/>
      <c r="B251" s="128"/>
      <c r="C251" s="120">
        <f t="shared" ref="C251:C303" si="22">C250-0.0005</f>
        <v>3.4999999999999948E-2</v>
      </c>
      <c r="D251" s="120">
        <f t="shared" ref="D251:D307" si="23">1/SQRT(C251)</f>
        <v>5.3452248382484919</v>
      </c>
      <c r="E251" s="120">
        <f t="shared" si="20"/>
        <v>5.8602388262468859</v>
      </c>
      <c r="F251" s="120">
        <f t="shared" si="21"/>
        <v>0.51500000000000001</v>
      </c>
    </row>
    <row r="252" spans="1:6" s="119" customFormat="1" x14ac:dyDescent="0.25">
      <c r="A252" s="107"/>
      <c r="B252" s="128"/>
      <c r="C252" s="120">
        <f t="shared" si="22"/>
        <v>3.4499999999999947E-2</v>
      </c>
      <c r="D252" s="120">
        <f t="shared" si="23"/>
        <v>5.383819020581659</v>
      </c>
      <c r="E252" s="120">
        <f t="shared" si="20"/>
        <v>5.8586933552976364</v>
      </c>
      <c r="F252" s="120">
        <f t="shared" si="21"/>
        <v>0.47499999999999998</v>
      </c>
    </row>
    <row r="253" spans="1:6" s="119" customFormat="1" x14ac:dyDescent="0.25">
      <c r="A253" s="107"/>
      <c r="B253" s="128"/>
      <c r="C253" s="120">
        <f t="shared" si="22"/>
        <v>3.3999999999999947E-2</v>
      </c>
      <c r="D253" s="120">
        <f t="shared" si="23"/>
        <v>5.4232614454664088</v>
      </c>
      <c r="E253" s="120">
        <f t="shared" si="20"/>
        <v>5.8571167532431829</v>
      </c>
      <c r="F253" s="120">
        <f t="shared" si="21"/>
        <v>0.434</v>
      </c>
    </row>
    <row r="254" spans="1:6" s="119" customFormat="1" x14ac:dyDescent="0.25">
      <c r="A254" s="107"/>
      <c r="B254" s="128"/>
      <c r="C254" s="120">
        <f t="shared" si="22"/>
        <v>3.3499999999999946E-2</v>
      </c>
      <c r="D254" s="120">
        <f t="shared" si="23"/>
        <v>5.4635836470815349</v>
      </c>
      <c r="E254" s="120">
        <f t="shared" si="20"/>
        <v>5.8555079373020016</v>
      </c>
      <c r="F254" s="120">
        <f t="shared" si="21"/>
        <v>0.39200000000000002</v>
      </c>
    </row>
    <row r="255" spans="1:6" s="119" customFormat="1" x14ac:dyDescent="0.25">
      <c r="A255" s="107"/>
      <c r="B255" s="128"/>
      <c r="C255" s="120">
        <f t="shared" si="22"/>
        <v>3.2999999999999946E-2</v>
      </c>
      <c r="D255" s="120">
        <f t="shared" si="23"/>
        <v>5.5048188256318076</v>
      </c>
      <c r="E255" s="120">
        <f t="shared" si="20"/>
        <v>5.8538657705490973</v>
      </c>
      <c r="F255" s="120">
        <f t="shared" si="21"/>
        <v>0.34899999999999998</v>
      </c>
    </row>
    <row r="256" spans="1:6" s="119" customFormat="1" x14ac:dyDescent="0.25">
      <c r="A256" s="107"/>
      <c r="B256" s="128"/>
      <c r="C256" s="120">
        <f t="shared" si="22"/>
        <v>3.2499999999999946E-2</v>
      </c>
      <c r="D256" s="120">
        <f t="shared" si="23"/>
        <v>5.5470019622522964</v>
      </c>
      <c r="E256" s="120">
        <f t="shared" si="20"/>
        <v>5.8521890583548792</v>
      </c>
      <c r="F256" s="120">
        <f t="shared" si="21"/>
        <v>0.30499999999999999</v>
      </c>
    </row>
    <row r="257" spans="1:20" s="119" customFormat="1" x14ac:dyDescent="0.25">
      <c r="A257" s="107"/>
      <c r="B257" s="128"/>
      <c r="C257" s="120">
        <f t="shared" si="22"/>
        <v>3.1999999999999945E-2</v>
      </c>
      <c r="D257" s="120">
        <f t="shared" si="23"/>
        <v>5.5901699437494798</v>
      </c>
      <c r="E257" s="120">
        <f t="shared" si="20"/>
        <v>5.8504765445317357</v>
      </c>
      <c r="F257" s="120">
        <f t="shared" si="21"/>
        <v>0.26</v>
      </c>
    </row>
    <row r="258" spans="1:20" s="119" customFormat="1" x14ac:dyDescent="0.25">
      <c r="A258" s="107"/>
      <c r="B258" s="128"/>
      <c r="C258" s="120">
        <f t="shared" si="22"/>
        <v>3.1499999999999945E-2</v>
      </c>
      <c r="D258" s="120">
        <f t="shared" si="23"/>
        <v>5.6343616981901148</v>
      </c>
      <c r="E258" s="120">
        <f t="shared" si="20"/>
        <v>5.8487269071593904</v>
      </c>
      <c r="F258" s="120">
        <f t="shared" si="21"/>
        <v>0.214</v>
      </c>
      <c r="S258" s="121"/>
      <c r="T258" s="121"/>
    </row>
    <row r="259" spans="1:20" s="119" customFormat="1" x14ac:dyDescent="0.25">
      <c r="A259" s="107"/>
      <c r="B259" s="128"/>
      <c r="C259" s="120">
        <f t="shared" si="22"/>
        <v>3.0999999999999944E-2</v>
      </c>
      <c r="D259" s="120">
        <f t="shared" si="23"/>
        <v>5.6796183424706532</v>
      </c>
      <c r="E259" s="120">
        <f t="shared" si="20"/>
        <v>5.846938754056743</v>
      </c>
      <c r="F259" s="120">
        <f t="shared" si="21"/>
        <v>0.16700000000000001</v>
      </c>
      <c r="S259" s="121"/>
      <c r="T259" s="121"/>
    </row>
    <row r="260" spans="1:20" s="119" customFormat="1" x14ac:dyDescent="0.25">
      <c r="A260" s="107"/>
      <c r="B260" s="128"/>
      <c r="C260" s="120">
        <f t="shared" si="22"/>
        <v>3.0499999999999944E-2</v>
      </c>
      <c r="D260" s="120">
        <f t="shared" si="23"/>
        <v>5.7259833431386875</v>
      </c>
      <c r="E260" s="120">
        <f t="shared" si="20"/>
        <v>5.8451106178641048</v>
      </c>
      <c r="F260" s="120">
        <f t="shared" si="21"/>
        <v>0.11899999999999999</v>
      </c>
      <c r="T260" s="121"/>
    </row>
    <row r="261" spans="1:20" s="119" customFormat="1" x14ac:dyDescent="0.25">
      <c r="A261" s="107"/>
      <c r="B261" s="128"/>
      <c r="C261" s="120">
        <f t="shared" si="22"/>
        <v>2.9999999999999943E-2</v>
      </c>
      <c r="D261" s="120">
        <f t="shared" si="23"/>
        <v>5.7735026918962635</v>
      </c>
      <c r="E261" s="120">
        <f t="shared" si="20"/>
        <v>5.8432409506953809</v>
      </c>
      <c r="F261" s="120">
        <f t="shared" si="21"/>
        <v>7.0000000000000007E-2</v>
      </c>
    </row>
    <row r="262" spans="1:20" s="119" customFormat="1" x14ac:dyDescent="0.25">
      <c r="A262" s="107"/>
      <c r="B262" s="128"/>
      <c r="C262" s="120">
        <f t="shared" si="22"/>
        <v>2.9499999999999943E-2</v>
      </c>
      <c r="D262" s="120">
        <f t="shared" si="23"/>
        <v>5.8222250973958261</v>
      </c>
      <c r="E262" s="120">
        <f t="shared" si="20"/>
        <v>5.8413281183148049</v>
      </c>
      <c r="F262" s="120">
        <f t="shared" si="21"/>
        <v>1.9E-2</v>
      </c>
    </row>
    <row r="263" spans="1:20" s="119" customFormat="1" x14ac:dyDescent="0.25">
      <c r="A263" s="107"/>
      <c r="B263" s="128"/>
      <c r="C263" s="120">
        <f t="shared" si="22"/>
        <v>2.8999999999999942E-2</v>
      </c>
      <c r="D263" s="120">
        <f t="shared" si="23"/>
        <v>5.8722021951470404</v>
      </c>
      <c r="E263" s="120">
        <f t="shared" si="20"/>
        <v>5.8393703937872212</v>
      </c>
      <c r="F263" s="120">
        <f t="shared" si="21"/>
        <v>3.3000000000000002E-2</v>
      </c>
    </row>
    <row r="264" spans="1:20" s="119" customFormat="1" x14ac:dyDescent="0.25">
      <c r="A264" s="107"/>
      <c r="B264" s="128"/>
      <c r="C264" s="120">
        <f t="shared" si="22"/>
        <v>2.8499999999999942E-2</v>
      </c>
      <c r="D264" s="120">
        <f t="shared" si="23"/>
        <v>5.9234887775909293</v>
      </c>
      <c r="E264" s="120">
        <f t="shared" si="20"/>
        <v>5.8373659505444166</v>
      </c>
      <c r="F264" s="120">
        <f t="shared" si="21"/>
        <v>8.5999999999999993E-2</v>
      </c>
    </row>
    <row r="265" spans="1:20" s="119" customFormat="1" x14ac:dyDescent="0.25">
      <c r="A265" s="107"/>
      <c r="B265" s="128"/>
      <c r="C265" s="120">
        <f t="shared" si="22"/>
        <v>2.7999999999999942E-2</v>
      </c>
      <c r="D265" s="120">
        <f t="shared" si="23"/>
        <v>5.9761430466719743</v>
      </c>
      <c r="E265" s="120">
        <f t="shared" si="20"/>
        <v>5.8353128548026554</v>
      </c>
      <c r="F265" s="120">
        <f t="shared" si="21"/>
        <v>0.14099999999999999</v>
      </c>
    </row>
    <row r="266" spans="1:20" s="119" customFormat="1" x14ac:dyDescent="0.25">
      <c r="A266" s="107"/>
      <c r="B266" s="128"/>
      <c r="C266" s="120">
        <f t="shared" si="22"/>
        <v>2.7499999999999941E-2</v>
      </c>
      <c r="D266" s="120">
        <f t="shared" si="23"/>
        <v>6.0302268915552784</v>
      </c>
      <c r="E266" s="120">
        <f t="shared" si="20"/>
        <v>5.8332090572580437</v>
      </c>
      <c r="F266" s="120">
        <f t="shared" si="21"/>
        <v>0.19700000000000001</v>
      </c>
    </row>
    <row r="267" spans="1:20" s="119" customFormat="1" x14ac:dyDescent="0.25">
      <c r="A267" s="107"/>
      <c r="B267" s="128"/>
      <c r="C267" s="120">
        <f t="shared" si="22"/>
        <v>2.6999999999999941E-2</v>
      </c>
      <c r="D267" s="120">
        <f t="shared" si="23"/>
        <v>6.0858061945018527</v>
      </c>
      <c r="E267" s="120">
        <f t="shared" si="20"/>
        <v>5.8310523839765853</v>
      </c>
      <c r="F267" s="120">
        <f t="shared" si="21"/>
        <v>0.255</v>
      </c>
    </row>
    <row r="268" spans="1:20" s="119" customFormat="1" x14ac:dyDescent="0.25">
      <c r="A268" s="107"/>
      <c r="B268" s="120"/>
      <c r="C268" s="120">
        <f t="shared" si="22"/>
        <v>2.649999999999994E-2</v>
      </c>
      <c r="D268" s="120">
        <f t="shared" si="23"/>
        <v>6.1429511683395184</v>
      </c>
      <c r="E268" s="120">
        <f t="shared" si="20"/>
        <v>5.8288405263845</v>
      </c>
      <c r="F268" s="120">
        <f t="shared" si="21"/>
        <v>0.314</v>
      </c>
      <c r="L268" s="120"/>
      <c r="M268" s="120"/>
      <c r="N268" s="120"/>
    </row>
    <row r="269" spans="1:20" s="119" customFormat="1" x14ac:dyDescent="0.25">
      <c r="A269" s="107"/>
      <c r="B269" s="120"/>
      <c r="C269" s="120">
        <f t="shared" si="22"/>
        <v>2.599999999999994E-2</v>
      </c>
      <c r="D269" s="120">
        <f t="shared" si="23"/>
        <v>6.2017367294604302</v>
      </c>
      <c r="E269" s="120">
        <f t="shared" si="20"/>
        <v>5.8265710302513058</v>
      </c>
      <c r="F269" s="120">
        <f t="shared" si="21"/>
        <v>0.375</v>
      </c>
      <c r="L269" s="120"/>
      <c r="M269" s="120"/>
      <c r="N269" s="120"/>
    </row>
    <row r="270" spans="1:20" s="119" customFormat="1" x14ac:dyDescent="0.25">
      <c r="A270" s="107"/>
      <c r="B270" s="120"/>
      <c r="C270" s="120">
        <f t="shared" si="22"/>
        <v>2.5499999999999939E-2</v>
      </c>
      <c r="D270" s="120">
        <f t="shared" si="23"/>
        <v>6.2622429108515023</v>
      </c>
      <c r="E270" s="120">
        <f t="shared" si="20"/>
        <v>5.8242412835430102</v>
      </c>
      <c r="F270" s="120">
        <f t="shared" si="21"/>
        <v>0.438</v>
      </c>
    </row>
    <row r="271" spans="1:20" s="119" customFormat="1" x14ac:dyDescent="0.25">
      <c r="A271" s="107"/>
      <c r="B271" s="120"/>
      <c r="C271" s="120">
        <f t="shared" si="22"/>
        <v>2.4999999999999939E-2</v>
      </c>
      <c r="D271" s="120">
        <f t="shared" si="23"/>
        <v>6.3245553203367662</v>
      </c>
      <c r="E271" s="120">
        <f t="shared" si="20"/>
        <v>5.821848503005115</v>
      </c>
      <c r="F271" s="120">
        <f t="shared" si="21"/>
        <v>0.503</v>
      </c>
      <c r="J271" s="120"/>
      <c r="K271" s="120"/>
    </row>
    <row r="272" spans="1:20" s="119" customFormat="1" x14ac:dyDescent="0.25">
      <c r="A272" s="107"/>
      <c r="B272" s="120"/>
      <c r="C272" s="120">
        <f t="shared" si="22"/>
        <v>2.4499999999999938E-2</v>
      </c>
      <c r="D272" s="120">
        <f t="shared" si="23"/>
        <v>6.3887656499994065</v>
      </c>
      <c r="E272" s="120">
        <f t="shared" si="20"/>
        <v>5.8193897193145681</v>
      </c>
      <c r="F272" s="120">
        <f t="shared" si="21"/>
        <v>0.56899999999999995</v>
      </c>
      <c r="J272" s="120"/>
      <c r="K272" s="120"/>
    </row>
    <row r="273" spans="1:13" s="119" customFormat="1" x14ac:dyDescent="0.25">
      <c r="A273" s="107"/>
      <c r="B273" s="120"/>
      <c r="C273" s="120">
        <f t="shared" si="22"/>
        <v>2.3999999999999938E-2</v>
      </c>
      <c r="D273" s="120">
        <f t="shared" si="23"/>
        <v>6.4549722436790367</v>
      </c>
      <c r="E273" s="120">
        <f t="shared" si="20"/>
        <v>5.8168617606156952</v>
      </c>
      <c r="F273" s="120">
        <f t="shared" si="21"/>
        <v>0.63800000000000001</v>
      </c>
      <c r="J273" s="120"/>
      <c r="K273" s="120"/>
    </row>
    <row r="274" spans="1:13" s="119" customFormat="1" x14ac:dyDescent="0.25">
      <c r="A274" s="107"/>
      <c r="B274" s="120"/>
      <c r="C274" s="120">
        <f t="shared" si="22"/>
        <v>2.3499999999999938E-2</v>
      </c>
      <c r="D274" s="120">
        <f t="shared" si="23"/>
        <v>6.5232807305344309</v>
      </c>
      <c r="E274" s="120">
        <f t="shared" si="20"/>
        <v>5.8142612342269153</v>
      </c>
      <c r="F274" s="120">
        <f t="shared" si="21"/>
        <v>0.70899999999999996</v>
      </c>
      <c r="J274" s="120"/>
      <c r="K274" s="120"/>
    </row>
    <row r="275" spans="1:13" s="119" customFormat="1" x14ac:dyDescent="0.25">
      <c r="A275" s="107"/>
      <c r="B275" s="120"/>
      <c r="C275" s="120">
        <f t="shared" si="22"/>
        <v>2.2999999999999937E-2</v>
      </c>
      <c r="D275" s="120">
        <f t="shared" si="23"/>
        <v>6.5938047339578789</v>
      </c>
      <c r="E275" s="120">
        <f t="shared" si="20"/>
        <v>5.8115845062717248</v>
      </c>
      <c r="F275" s="120">
        <f t="shared" si="21"/>
        <v>0.78200000000000003</v>
      </c>
      <c r="J275" s="120"/>
      <c r="K275" s="120"/>
    </row>
    <row r="276" spans="1:13" s="119" customFormat="1" x14ac:dyDescent="0.25">
      <c r="A276" s="107"/>
      <c r="B276" s="120"/>
      <c r="C276" s="120">
        <f t="shared" si="22"/>
        <v>2.2499999999999937E-2</v>
      </c>
      <c r="D276" s="120">
        <f t="shared" si="23"/>
        <v>6.6666666666666758</v>
      </c>
      <c r="E276" s="120">
        <f t="shared" si="20"/>
        <v>5.8088276789481519</v>
      </c>
      <c r="F276" s="120">
        <f t="shared" si="21"/>
        <v>0.85799999999999998</v>
      </c>
      <c r="J276" s="120"/>
      <c r="K276" s="120"/>
    </row>
    <row r="277" spans="1:13" s="119" customFormat="1" x14ac:dyDescent="0.25">
      <c r="A277" s="107"/>
      <c r="B277" s="120"/>
      <c r="C277" s="120">
        <f t="shared" si="22"/>
        <v>2.1999999999999936E-2</v>
      </c>
      <c r="D277" s="120">
        <f t="shared" si="23"/>
        <v>6.7419986246324308</v>
      </c>
      <c r="E277" s="120">
        <f t="shared" si="20"/>
        <v>5.8059865651042744</v>
      </c>
      <c r="F277" s="120">
        <f t="shared" si="21"/>
        <v>0.93600000000000005</v>
      </c>
      <c r="J277" s="120"/>
      <c r="K277" s="120"/>
    </row>
    <row r="278" spans="1:13" s="119" customFormat="1" x14ac:dyDescent="0.25">
      <c r="A278" s="107"/>
      <c r="B278" s="120"/>
      <c r="C278" s="120">
        <f t="shared" si="22"/>
        <v>2.1499999999999936E-2</v>
      </c>
      <c r="D278" s="120">
        <f t="shared" si="23"/>
        <v>6.8199433947047448</v>
      </c>
      <c r="E278" s="120">
        <f t="shared" si="20"/>
        <v>5.8030566597319551</v>
      </c>
      <c r="F278" s="120">
        <f t="shared" si="21"/>
        <v>1.0169999999999999</v>
      </c>
      <c r="J278" s="120"/>
      <c r="K278" s="120"/>
    </row>
    <row r="279" spans="1:13" s="119" customFormat="1" x14ac:dyDescent="0.25">
      <c r="A279" s="107"/>
      <c r="B279" s="120"/>
      <c r="C279" s="120">
        <f t="shared" si="22"/>
        <v>2.0999999999999935E-2</v>
      </c>
      <c r="D279" s="120">
        <f t="shared" si="23"/>
        <v>6.9006555934235525</v>
      </c>
      <c r="E279" s="120">
        <f t="shared" si="20"/>
        <v>5.8000331079247553</v>
      </c>
      <c r="F279" s="120">
        <f t="shared" si="21"/>
        <v>1.101</v>
      </c>
      <c r="I279" s="130"/>
      <c r="J279" s="120"/>
      <c r="K279" s="120"/>
    </row>
    <row r="280" spans="1:13" s="119" customFormat="1" x14ac:dyDescent="0.25">
      <c r="A280" s="107"/>
      <c r="B280" s="120"/>
      <c r="C280" s="120">
        <f t="shared" si="22"/>
        <v>2.0499999999999935E-2</v>
      </c>
      <c r="D280" s="120">
        <f t="shared" si="23"/>
        <v>6.9843029576957925</v>
      </c>
      <c r="E280" s="120">
        <f t="shared" si="20"/>
        <v>5.7969106687666612</v>
      </c>
      <c r="F280" s="120">
        <f t="shared" si="21"/>
        <v>1.1870000000000001</v>
      </c>
      <c r="J280" s="120"/>
    </row>
    <row r="281" spans="1:13" s="119" customFormat="1" x14ac:dyDescent="0.25">
      <c r="A281" s="107"/>
      <c r="B281" s="120"/>
      <c r="C281" s="120">
        <f t="shared" si="22"/>
        <v>1.9999999999999934E-2</v>
      </c>
      <c r="D281" s="120">
        <f t="shared" si="23"/>
        <v>7.0710678118654862</v>
      </c>
      <c r="E281" s="120">
        <f t="shared" si="20"/>
        <v>5.7936836745227405</v>
      </c>
      <c r="F281" s="120">
        <f t="shared" si="21"/>
        <v>1.2769999999999999</v>
      </c>
      <c r="J281" s="120"/>
      <c r="K281" s="120"/>
    </row>
    <row r="282" spans="1:13" s="119" customFormat="1" x14ac:dyDescent="0.25">
      <c r="A282" s="107"/>
      <c r="B282" s="120"/>
      <c r="C282" s="120">
        <f t="shared" si="22"/>
        <v>1.9499999999999934E-2</v>
      </c>
      <c r="D282" s="120">
        <f t="shared" si="23"/>
        <v>7.1611487403943412</v>
      </c>
      <c r="E282" s="120">
        <f t="shared" si="20"/>
        <v>5.7903459843874305</v>
      </c>
      <c r="F282" s="120">
        <f t="shared" si="21"/>
        <v>1.371</v>
      </c>
      <c r="K282" s="120"/>
      <c r="L282" s="120"/>
      <c r="M282" s="121"/>
    </row>
    <row r="283" spans="1:13" s="119" customFormat="1" x14ac:dyDescent="0.25">
      <c r="A283" s="107"/>
      <c r="B283" s="120"/>
      <c r="C283" s="120">
        <f t="shared" si="22"/>
        <v>1.8999999999999934E-2</v>
      </c>
      <c r="D283" s="120">
        <f t="shared" si="23"/>
        <v>7.2547625011001298</v>
      </c>
      <c r="E283" s="120">
        <f t="shared" si="20"/>
        <v>5.7868909319060435</v>
      </c>
      <c r="F283" s="120">
        <f t="shared" si="21"/>
        <v>1.468</v>
      </c>
      <c r="K283" s="120"/>
      <c r="L283" s="121"/>
      <c r="M283" s="121"/>
    </row>
    <row r="284" spans="1:13" s="119" customFormat="1" x14ac:dyDescent="0.25">
      <c r="A284" s="107"/>
      <c r="B284" s="120"/>
      <c r="C284" s="120">
        <f t="shared" si="22"/>
        <v>1.8499999999999933E-2</v>
      </c>
      <c r="D284" s="120">
        <f t="shared" si="23"/>
        <v>7.3521462209380903</v>
      </c>
      <c r="E284" s="120">
        <f t="shared" si="20"/>
        <v>5.7833112650141034</v>
      </c>
      <c r="F284" s="120">
        <f t="shared" si="21"/>
        <v>1.569</v>
      </c>
      <c r="I284" s="130"/>
      <c r="K284" s="120"/>
      <c r="L284" s="120"/>
    </row>
    <row r="285" spans="1:13" s="119" customFormat="1" x14ac:dyDescent="0.25">
      <c r="A285" s="107"/>
      <c r="B285" s="120"/>
      <c r="C285" s="120">
        <f t="shared" si="22"/>
        <v>1.7999999999999933E-2</v>
      </c>
      <c r="D285" s="120">
        <f t="shared" si="23"/>
        <v>7.4535599249993121</v>
      </c>
      <c r="E285" s="120">
        <f t="shared" si="20"/>
        <v>5.7795990774296531</v>
      </c>
      <c r="F285" s="120">
        <f t="shared" si="21"/>
        <v>1.6739999999999999</v>
      </c>
      <c r="J285" s="120"/>
      <c r="K285" s="120"/>
      <c r="L285" s="120"/>
    </row>
    <row r="286" spans="1:13" s="119" customFormat="1" x14ac:dyDescent="0.25">
      <c r="A286" s="107"/>
      <c r="B286" s="120"/>
      <c r="C286" s="120">
        <f t="shared" si="22"/>
        <v>1.7499999999999932E-2</v>
      </c>
      <c r="D286" s="120">
        <f t="shared" si="23"/>
        <v>7.5592894601845595</v>
      </c>
      <c r="E286" s="120">
        <f t="shared" si="20"/>
        <v>5.7757457298754877</v>
      </c>
      <c r="F286" s="120">
        <f t="shared" si="21"/>
        <v>1.784</v>
      </c>
      <c r="J286" s="120"/>
      <c r="K286" s="120"/>
      <c r="L286" s="131"/>
    </row>
    <row r="287" spans="1:13" s="119" customFormat="1" x14ac:dyDescent="0.25">
      <c r="A287" s="107"/>
      <c r="B287" s="120"/>
      <c r="C287" s="120">
        <f t="shared" si="22"/>
        <v>1.6999999999999932E-2</v>
      </c>
      <c r="D287" s="120">
        <f t="shared" si="23"/>
        <v>7.6696498884737201</v>
      </c>
      <c r="E287" s="120">
        <f t="shared" si="20"/>
        <v>5.7717417592885134</v>
      </c>
      <c r="F287" s="120">
        <f t="shared" si="21"/>
        <v>1.8979999999999999</v>
      </c>
      <c r="K287" s="120"/>
      <c r="L287" s="125"/>
    </row>
    <row r="288" spans="1:13" s="119" customFormat="1" x14ac:dyDescent="0.25">
      <c r="A288" s="107"/>
      <c r="B288" s="120"/>
      <c r="C288" s="120">
        <f t="shared" si="22"/>
        <v>1.6499999999999931E-2</v>
      </c>
      <c r="D288" s="120">
        <f t="shared" si="23"/>
        <v>7.7849894416152452</v>
      </c>
      <c r="E288" s="120">
        <f t="shared" si="20"/>
        <v>5.7675767737749908</v>
      </c>
      <c r="F288" s="120">
        <f t="shared" si="21"/>
        <v>2.0169999999999999</v>
      </c>
    </row>
    <row r="289" spans="1:21" s="119" customFormat="1" x14ac:dyDescent="0.25">
      <c r="A289" s="107"/>
      <c r="B289" s="120"/>
      <c r="C289" s="120">
        <f t="shared" si="22"/>
        <v>1.5999999999999931E-2</v>
      </c>
      <c r="D289" s="120">
        <f t="shared" si="23"/>
        <v>7.9056941504209659</v>
      </c>
      <c r="E289" s="120">
        <f t="shared" si="20"/>
        <v>5.7632393305710723</v>
      </c>
      <c r="F289" s="120">
        <f t="shared" si="21"/>
        <v>2.1419999999999999</v>
      </c>
    </row>
    <row r="290" spans="1:21" s="119" customFormat="1" x14ac:dyDescent="0.25">
      <c r="A290" s="107"/>
      <c r="B290" s="120"/>
      <c r="C290" s="120">
        <f t="shared" si="22"/>
        <v>1.5499999999999931E-2</v>
      </c>
      <c r="D290" s="120">
        <f t="shared" si="23"/>
        <v>8.0321932890250061</v>
      </c>
      <c r="E290" s="120">
        <f t="shared" si="20"/>
        <v>5.7587167936381132</v>
      </c>
      <c r="F290" s="120">
        <f t="shared" si="21"/>
        <v>2.2730000000000001</v>
      </c>
      <c r="J290" s="120"/>
      <c r="K290" s="120"/>
      <c r="L290" s="132"/>
    </row>
    <row r="291" spans="1:21" s="119" customFormat="1" x14ac:dyDescent="0.25">
      <c r="A291" s="107"/>
      <c r="B291" s="120"/>
      <c r="C291" s="120">
        <f t="shared" si="22"/>
        <v>1.499999999999993E-2</v>
      </c>
      <c r="D291" s="120">
        <f t="shared" si="23"/>
        <v>8.1649658092772786</v>
      </c>
      <c r="E291" s="120">
        <f t="shared" si="20"/>
        <v>5.7539951667222899</v>
      </c>
      <c r="F291" s="120">
        <f t="shared" si="21"/>
        <v>2.411</v>
      </c>
      <c r="J291" s="120"/>
      <c r="K291" s="120"/>
      <c r="L291" s="133"/>
    </row>
    <row r="292" spans="1:21" s="119" customFormat="1" x14ac:dyDescent="0.25">
      <c r="A292" s="107"/>
      <c r="B292" s="120"/>
      <c r="C292" s="120">
        <f t="shared" si="22"/>
        <v>1.449999999999993E-2</v>
      </c>
      <c r="D292" s="120">
        <f t="shared" si="23"/>
        <v>8.3045479853740165</v>
      </c>
      <c r="E292" s="120">
        <f t="shared" si="20"/>
        <v>5.7490588966848497</v>
      </c>
      <c r="F292" s="120">
        <f t="shared" si="21"/>
        <v>2.5550000000000002</v>
      </c>
      <c r="J292" s="120"/>
      <c r="K292" s="120"/>
      <c r="L292" s="133"/>
    </row>
    <row r="293" spans="1:21" s="119" customFormat="1" x14ac:dyDescent="0.25">
      <c r="A293" s="107"/>
      <c r="B293" s="120"/>
      <c r="C293" s="120">
        <f t="shared" si="22"/>
        <v>1.3999999999999929E-2</v>
      </c>
      <c r="D293" s="120">
        <f t="shared" si="23"/>
        <v>8.4515425472851877</v>
      </c>
      <c r="E293" s="120">
        <f t="shared" si="20"/>
        <v>5.7438906405906227</v>
      </c>
      <c r="F293" s="120">
        <f t="shared" si="21"/>
        <v>2.7080000000000002</v>
      </c>
      <c r="K293" s="120"/>
      <c r="L293" s="125"/>
    </row>
    <row r="294" spans="1:21" s="119" customFormat="1" x14ac:dyDescent="0.25">
      <c r="A294" s="107"/>
      <c r="B294" s="120"/>
      <c r="C294" s="120">
        <f t="shared" si="22"/>
        <v>1.3499999999999929E-2</v>
      </c>
      <c r="D294" s="120">
        <f t="shared" si="23"/>
        <v>8.6066296582387274</v>
      </c>
      <c r="E294" s="120">
        <f t="shared" si="20"/>
        <v>5.7384709883290581</v>
      </c>
      <c r="F294" s="120">
        <f t="shared" si="21"/>
        <v>2.8679999999999999</v>
      </c>
      <c r="J294" s="120"/>
      <c r="K294" s="120"/>
    </row>
    <row r="295" spans="1:21" s="119" customFormat="1" x14ac:dyDescent="0.25">
      <c r="A295" s="107"/>
      <c r="B295" s="120"/>
      <c r="C295" s="120">
        <f t="shared" si="22"/>
        <v>1.2999999999999928E-2</v>
      </c>
      <c r="D295" s="120">
        <f t="shared" si="23"/>
        <v>8.770580193070316</v>
      </c>
      <c r="E295" s="120">
        <f t="shared" si="20"/>
        <v>5.7327781302966159</v>
      </c>
      <c r="F295" s="120">
        <f t="shared" si="21"/>
        <v>3.0379999999999998</v>
      </c>
      <c r="J295" s="120"/>
      <c r="K295" s="120"/>
    </row>
    <row r="296" spans="1:21" s="119" customFormat="1" x14ac:dyDescent="0.25">
      <c r="A296" s="107"/>
      <c r="B296" s="120"/>
      <c r="C296" s="120">
        <f t="shared" si="22"/>
        <v>1.2499999999999928E-2</v>
      </c>
      <c r="D296" s="120">
        <f t="shared" si="23"/>
        <v>8.9442719099991841</v>
      </c>
      <c r="E296" s="120">
        <f t="shared" si="20"/>
        <v>5.726787456699447</v>
      </c>
      <c r="F296" s="120">
        <f t="shared" si="21"/>
        <v>3.2170000000000001</v>
      </c>
      <c r="J296" s="120"/>
      <c r="K296" s="120"/>
    </row>
    <row r="297" spans="1:21" s="119" customFormat="1" x14ac:dyDescent="0.25">
      <c r="A297" s="107"/>
      <c r="B297" s="120"/>
      <c r="C297" s="120">
        <f t="shared" si="22"/>
        <v>1.1999999999999927E-2</v>
      </c>
      <c r="D297" s="120">
        <f t="shared" si="23"/>
        <v>9.1287092917527968</v>
      </c>
      <c r="E297" s="120">
        <f t="shared" si="20"/>
        <v>5.720471071068002</v>
      </c>
      <c r="F297" s="120">
        <f t="shared" si="21"/>
        <v>3.4079999999999999</v>
      </c>
      <c r="J297" s="120"/>
      <c r="K297" s="120"/>
    </row>
    <row r="298" spans="1:21" s="119" customFormat="1" x14ac:dyDescent="0.25">
      <c r="A298" s="107"/>
      <c r="B298" s="120"/>
      <c r="C298" s="120">
        <f t="shared" si="22"/>
        <v>1.1499999999999927E-2</v>
      </c>
      <c r="D298" s="120">
        <f t="shared" si="23"/>
        <v>9.3250480824031676</v>
      </c>
      <c r="E298" s="120">
        <f t="shared" si="20"/>
        <v>5.7137971952193336</v>
      </c>
      <c r="F298" s="120">
        <f t="shared" si="21"/>
        <v>3.6110000000000002</v>
      </c>
      <c r="J298" s="120"/>
      <c r="K298" s="120"/>
    </row>
    <row r="299" spans="1:21" s="119" customFormat="1" x14ac:dyDescent="0.25">
      <c r="A299" s="107"/>
      <c r="B299" s="120"/>
      <c r="C299" s="120">
        <f t="shared" si="22"/>
        <v>1.0999999999999927E-2</v>
      </c>
      <c r="D299" s="120">
        <f t="shared" si="23"/>
        <v>9.5346258924559546</v>
      </c>
      <c r="E299" s="120">
        <f t="shared" si="20"/>
        <v>5.7067294355889038</v>
      </c>
      <c r="F299" s="120">
        <f t="shared" si="21"/>
        <v>3.8279999999999998</v>
      </c>
      <c r="J299" s="120"/>
      <c r="K299" s="120"/>
    </row>
    <row r="300" spans="1:21" s="119" customFormat="1" x14ac:dyDescent="0.25">
      <c r="A300" s="107"/>
      <c r="B300" s="120"/>
      <c r="C300" s="120">
        <f t="shared" si="22"/>
        <v>1.0499999999999926E-2</v>
      </c>
      <c r="D300" s="120">
        <f t="shared" si="23"/>
        <v>9.7590007294853649</v>
      </c>
      <c r="E300" s="120">
        <f t="shared" si="20"/>
        <v>5.699225870742076</v>
      </c>
      <c r="F300" s="120">
        <f t="shared" si="21"/>
        <v>4.0599999999999996</v>
      </c>
      <c r="J300" s="120"/>
      <c r="K300" s="120"/>
    </row>
    <row r="301" spans="1:21" s="119" customFormat="1" x14ac:dyDescent="0.25">
      <c r="A301" s="107"/>
      <c r="B301" s="120"/>
      <c r="C301" s="120">
        <f t="shared" si="22"/>
        <v>9.9999999999999256E-3</v>
      </c>
      <c r="D301" s="120">
        <f t="shared" si="23"/>
        <v>10.000000000000037</v>
      </c>
      <c r="E301" s="120">
        <f t="shared" si="20"/>
        <v>5.6912379057074025</v>
      </c>
      <c r="F301" s="120">
        <f t="shared" si="21"/>
        <v>4.3090000000000002</v>
      </c>
      <c r="J301" s="120"/>
      <c r="K301" s="120"/>
    </row>
    <row r="302" spans="1:21" s="119" customFormat="1" x14ac:dyDescent="0.25">
      <c r="A302" s="107"/>
      <c r="B302" s="120"/>
      <c r="C302" s="120">
        <f t="shared" si="22"/>
        <v>9.4999999999999252E-3</v>
      </c>
      <c r="D302" s="120">
        <f t="shared" si="23"/>
        <v>10.259783520851581</v>
      </c>
      <c r="E302" s="120">
        <f t="shared" si="20"/>
        <v>5.682708818631113</v>
      </c>
      <c r="F302" s="120">
        <f t="shared" si="21"/>
        <v>4.577</v>
      </c>
      <c r="J302" s="120"/>
      <c r="K302" s="120"/>
    </row>
    <row r="303" spans="1:21" s="119" customFormat="1" x14ac:dyDescent="0.25">
      <c r="A303" s="107"/>
      <c r="B303" s="120"/>
      <c r="C303" s="120">
        <f t="shared" si="22"/>
        <v>8.9999999999999247E-3</v>
      </c>
      <c r="D303" s="120">
        <f t="shared" si="23"/>
        <v>10.540925533894642</v>
      </c>
      <c r="E303" s="120">
        <f t="shared" si="20"/>
        <v>5.6735718961566084</v>
      </c>
      <c r="F303" s="120">
        <f t="shared" si="21"/>
        <v>4.867</v>
      </c>
      <c r="J303" s="120"/>
      <c r="K303" s="120"/>
      <c r="R303" s="120"/>
      <c r="S303" s="120"/>
      <c r="T303" s="120"/>
      <c r="U303" s="120"/>
    </row>
    <row r="304" spans="1:21" s="119" customFormat="1" x14ac:dyDescent="0.25">
      <c r="A304" s="107"/>
      <c r="B304" s="120"/>
      <c r="C304" s="120">
        <f>C303-0.0005</f>
        <v>8.4999999999999243E-3</v>
      </c>
      <c r="D304" s="120">
        <f t="shared" si="23"/>
        <v>10.846522890932858</v>
      </c>
      <c r="E304" s="120">
        <f t="shared" si="20"/>
        <v>5.6637480111662457</v>
      </c>
      <c r="F304" s="120">
        <f t="shared" si="21"/>
        <v>5.1829999999999998</v>
      </c>
      <c r="J304" s="120"/>
      <c r="K304" s="120"/>
      <c r="R304" s="120"/>
      <c r="S304" s="120"/>
      <c r="T304" s="120"/>
      <c r="U304" s="120"/>
    </row>
    <row r="305" spans="1:21" s="119" customFormat="1" x14ac:dyDescent="0.25">
      <c r="A305" s="107"/>
      <c r="B305" s="120"/>
      <c r="C305" s="120">
        <f>C304-0.0005</f>
        <v>7.9999999999999238E-3</v>
      </c>
      <c r="D305" s="120">
        <f t="shared" si="23"/>
        <v>11.180339887499002</v>
      </c>
      <c r="E305" s="120">
        <f t="shared" si="20"/>
        <v>5.6531424324438966</v>
      </c>
      <c r="F305" s="120">
        <f t="shared" si="21"/>
        <v>5.5270000000000001</v>
      </c>
      <c r="J305" s="120"/>
      <c r="K305" s="120"/>
      <c r="R305" s="120"/>
      <c r="S305" s="120"/>
      <c r="T305" s="120"/>
      <c r="U305" s="120"/>
    </row>
    <row r="306" spans="1:21" s="119" customFormat="1" x14ac:dyDescent="0.25">
      <c r="A306" s="107"/>
      <c r="B306" s="120"/>
      <c r="C306" s="120">
        <f>C305-0.0005</f>
        <v>7.4999999999999234E-3</v>
      </c>
      <c r="D306" s="120">
        <f t="shared" si="23"/>
        <v>11.547005383792575</v>
      </c>
      <c r="E306" s="120">
        <f t="shared" si="20"/>
        <v>5.6416405577427868</v>
      </c>
      <c r="F306" s="120">
        <f t="shared" si="21"/>
        <v>5.9050000000000002</v>
      </c>
      <c r="J306" s="120"/>
      <c r="K306" s="120"/>
      <c r="R306" s="120"/>
      <c r="S306" s="125"/>
      <c r="T306" s="125"/>
      <c r="U306" s="125"/>
    </row>
    <row r="307" spans="1:21" s="119" customFormat="1" x14ac:dyDescent="0.25">
      <c r="A307" s="107"/>
      <c r="B307" s="120"/>
      <c r="C307" s="120">
        <f>C306-0.0005</f>
        <v>6.999999999999923E-3</v>
      </c>
      <c r="D307" s="120">
        <f t="shared" si="23"/>
        <v>11.952286093344002</v>
      </c>
      <c r="E307" s="120">
        <f t="shared" si="20"/>
        <v>5.629102108044969</v>
      </c>
      <c r="F307" s="120">
        <f t="shared" si="21"/>
        <v>6.3230000000000004</v>
      </c>
      <c r="J307" s="120"/>
      <c r="K307" s="120"/>
      <c r="S307" s="125"/>
      <c r="T307" s="125"/>
      <c r="U307" s="125"/>
    </row>
    <row r="308" spans="1:21" s="119" customFormat="1" x14ac:dyDescent="0.25">
      <c r="A308" s="107"/>
      <c r="B308" s="120"/>
      <c r="C308" s="120"/>
      <c r="J308" s="120"/>
      <c r="K308" s="120"/>
    </row>
    <row r="309" spans="1:21" s="107" customFormat="1" x14ac:dyDescent="0.25">
      <c r="B309" s="108"/>
      <c r="C309" s="108"/>
      <c r="J309" s="108"/>
      <c r="K309" s="108"/>
    </row>
    <row r="310" spans="1:21" s="107" customFormat="1" ht="15.75" x14ac:dyDescent="0.25">
      <c r="B310" s="108"/>
      <c r="C310" s="108"/>
      <c r="J310" s="110"/>
      <c r="K310" s="108"/>
      <c r="R310" s="108"/>
      <c r="S310" s="109"/>
    </row>
    <row r="311" spans="1:21" s="107" customFormat="1" x14ac:dyDescent="0.25">
      <c r="B311" s="108"/>
      <c r="C311" s="108"/>
      <c r="J311" s="108"/>
      <c r="K311" s="108"/>
    </row>
    <row r="312" spans="1:21" s="107" customFormat="1" x14ac:dyDescent="0.25">
      <c r="B312" s="108"/>
      <c r="C312" s="108"/>
      <c r="J312" s="108"/>
      <c r="K312" s="108"/>
    </row>
    <row r="313" spans="1:21" s="107" customFormat="1" x14ac:dyDescent="0.25">
      <c r="B313" s="108"/>
      <c r="C313" s="108"/>
      <c r="J313" s="108"/>
      <c r="K313" s="108"/>
    </row>
    <row r="314" spans="1:21" s="107" customFormat="1" x14ac:dyDescent="0.25">
      <c r="B314" s="108"/>
      <c r="C314" s="108"/>
      <c r="J314" s="108"/>
      <c r="K314" s="108"/>
    </row>
    <row r="315" spans="1:21" s="107" customFormat="1" x14ac:dyDescent="0.25">
      <c r="B315" s="108"/>
      <c r="C315" s="108"/>
      <c r="J315" s="108"/>
      <c r="K315" s="108"/>
    </row>
    <row r="316" spans="1:21" s="107" customFormat="1" x14ac:dyDescent="0.25">
      <c r="B316" s="108"/>
      <c r="C316" s="108"/>
      <c r="J316" s="108"/>
      <c r="K316" s="108"/>
    </row>
    <row r="317" spans="1:21" s="107" customFormat="1" x14ac:dyDescent="0.25">
      <c r="B317" s="108"/>
      <c r="C317" s="108"/>
      <c r="J317" s="108"/>
      <c r="K317" s="108"/>
    </row>
    <row r="318" spans="1:21" s="107" customFormat="1" x14ac:dyDescent="0.25">
      <c r="B318" s="108"/>
      <c r="C318" s="108"/>
      <c r="J318" s="108"/>
      <c r="K318" s="108"/>
    </row>
    <row r="319" spans="1:21" s="107" customFormat="1" x14ac:dyDescent="0.25">
      <c r="B319" s="108"/>
      <c r="C319" s="108"/>
      <c r="J319" s="108"/>
      <c r="K319" s="108"/>
    </row>
    <row r="320" spans="1:21" s="107" customFormat="1" x14ac:dyDescent="0.25">
      <c r="B320" s="108"/>
      <c r="C320" s="108"/>
      <c r="J320" s="108"/>
      <c r="K320" s="108"/>
    </row>
    <row r="321" spans="2:11" s="107" customFormat="1" x14ac:dyDescent="0.25">
      <c r="B321" s="108"/>
      <c r="C321" s="108"/>
      <c r="J321" s="108"/>
      <c r="K321" s="108"/>
    </row>
    <row r="322" spans="2:11" s="107" customFormat="1" x14ac:dyDescent="0.25">
      <c r="B322" s="108"/>
      <c r="C322" s="108"/>
      <c r="J322" s="108"/>
      <c r="K322" s="108"/>
    </row>
    <row r="323" spans="2:11" s="107" customFormat="1" x14ac:dyDescent="0.25">
      <c r="B323" s="108"/>
      <c r="C323" s="108"/>
      <c r="J323" s="108"/>
      <c r="K323" s="108"/>
    </row>
    <row r="324" spans="2:11" s="107" customFormat="1" x14ac:dyDescent="0.25">
      <c r="B324" s="108"/>
      <c r="C324" s="108"/>
      <c r="J324" s="108"/>
      <c r="K324" s="108"/>
    </row>
    <row r="325" spans="2:11" s="107" customFormat="1" x14ac:dyDescent="0.25">
      <c r="B325" s="108"/>
      <c r="C325" s="108"/>
      <c r="J325" s="108"/>
      <c r="K325" s="108"/>
    </row>
    <row r="326" spans="2:11" s="107" customFormat="1" x14ac:dyDescent="0.25">
      <c r="B326" s="108"/>
      <c r="C326" s="108"/>
      <c r="J326" s="108"/>
      <c r="K326" s="108"/>
    </row>
    <row r="327" spans="2:11" s="107" customFormat="1" x14ac:dyDescent="0.25">
      <c r="B327" s="108"/>
      <c r="C327" s="108"/>
      <c r="J327" s="108"/>
      <c r="K327" s="108"/>
    </row>
    <row r="328" spans="2:11" s="107" customFormat="1" x14ac:dyDescent="0.25">
      <c r="B328" s="108"/>
      <c r="C328" s="108"/>
      <c r="J328" s="108"/>
      <c r="K328" s="108"/>
    </row>
    <row r="329" spans="2:11" s="107" customFormat="1" x14ac:dyDescent="0.25">
      <c r="B329" s="108"/>
      <c r="C329" s="108"/>
      <c r="J329" s="108"/>
      <c r="K329" s="108"/>
    </row>
    <row r="330" spans="2:11" s="107" customFormat="1" x14ac:dyDescent="0.25">
      <c r="B330" s="108"/>
      <c r="C330" s="108"/>
      <c r="J330" s="108"/>
      <c r="K330" s="108"/>
    </row>
    <row r="331" spans="2:11" s="107" customFormat="1" x14ac:dyDescent="0.25">
      <c r="B331" s="108"/>
      <c r="C331" s="108"/>
      <c r="J331" s="108"/>
      <c r="K331" s="108"/>
    </row>
    <row r="332" spans="2:11" s="107" customFormat="1" x14ac:dyDescent="0.25">
      <c r="B332" s="108"/>
      <c r="C332" s="108"/>
      <c r="J332" s="108"/>
      <c r="K332" s="108"/>
    </row>
    <row r="333" spans="2:11" s="107" customFormat="1" x14ac:dyDescent="0.25">
      <c r="B333" s="108"/>
      <c r="C333" s="108"/>
      <c r="J333" s="108"/>
      <c r="K333" s="108"/>
    </row>
    <row r="334" spans="2:11" s="107" customFormat="1" x14ac:dyDescent="0.25">
      <c r="B334" s="108"/>
      <c r="C334" s="108"/>
      <c r="J334" s="108"/>
      <c r="K334" s="108"/>
    </row>
    <row r="335" spans="2:11" s="107" customFormat="1" x14ac:dyDescent="0.25">
      <c r="B335" s="108"/>
      <c r="C335" s="108"/>
      <c r="J335" s="108"/>
      <c r="K335" s="108"/>
    </row>
    <row r="336" spans="2:11" s="107" customFormat="1" x14ac:dyDescent="0.25">
      <c r="B336" s="108"/>
      <c r="C336" s="108"/>
      <c r="J336" s="108"/>
      <c r="K336" s="108"/>
    </row>
    <row r="337" spans="2:11" s="107" customFormat="1" x14ac:dyDescent="0.25">
      <c r="B337" s="108"/>
      <c r="C337" s="108"/>
      <c r="J337" s="108"/>
      <c r="K337" s="108"/>
    </row>
    <row r="338" spans="2:11" s="107" customFormat="1" x14ac:dyDescent="0.25">
      <c r="B338" s="108"/>
      <c r="C338" s="108"/>
      <c r="J338" s="108"/>
      <c r="K338" s="108"/>
    </row>
    <row r="339" spans="2:11" s="107" customFormat="1" x14ac:dyDescent="0.25">
      <c r="B339" s="108"/>
      <c r="C339" s="108"/>
      <c r="J339" s="108"/>
      <c r="K339" s="108"/>
    </row>
    <row r="340" spans="2:11" s="107" customFormat="1" x14ac:dyDescent="0.25">
      <c r="B340" s="108"/>
      <c r="C340" s="108"/>
      <c r="J340" s="108"/>
      <c r="K340" s="108"/>
    </row>
    <row r="341" spans="2:11" s="107" customFormat="1" x14ac:dyDescent="0.25">
      <c r="B341" s="108"/>
      <c r="C341" s="108"/>
      <c r="J341" s="108"/>
      <c r="K341" s="108"/>
    </row>
    <row r="342" spans="2:11" s="107" customFormat="1" x14ac:dyDescent="0.25">
      <c r="B342" s="108"/>
      <c r="C342" s="108"/>
      <c r="J342" s="108"/>
      <c r="K342" s="108"/>
    </row>
    <row r="343" spans="2:11" s="107" customFormat="1" x14ac:dyDescent="0.25">
      <c r="B343" s="108"/>
      <c r="C343" s="108"/>
      <c r="J343" s="108"/>
      <c r="K343" s="108"/>
    </row>
    <row r="344" spans="2:11" s="107" customFormat="1" x14ac:dyDescent="0.25">
      <c r="B344" s="108"/>
      <c r="C344" s="108"/>
      <c r="J344" s="108"/>
      <c r="K344" s="108"/>
    </row>
    <row r="345" spans="2:11" s="107" customFormat="1" x14ac:dyDescent="0.25">
      <c r="B345" s="108"/>
      <c r="C345" s="108"/>
      <c r="J345" s="108"/>
      <c r="K345" s="108"/>
    </row>
    <row r="346" spans="2:11" s="107" customFormat="1" x14ac:dyDescent="0.25">
      <c r="B346" s="108"/>
      <c r="C346" s="108"/>
      <c r="J346" s="108"/>
      <c r="K346" s="108"/>
    </row>
    <row r="347" spans="2:11" s="107" customFormat="1" x14ac:dyDescent="0.25">
      <c r="B347" s="108"/>
      <c r="C347" s="108"/>
      <c r="J347" s="108"/>
      <c r="K347" s="108"/>
    </row>
    <row r="348" spans="2:11" s="107" customFormat="1" x14ac:dyDescent="0.25">
      <c r="B348" s="108"/>
      <c r="C348" s="108"/>
      <c r="J348" s="108"/>
      <c r="K348" s="108"/>
    </row>
    <row r="349" spans="2:11" s="107" customFormat="1" x14ac:dyDescent="0.25">
      <c r="B349" s="108"/>
      <c r="C349" s="108"/>
    </row>
    <row r="350" spans="2:11" s="107" customFormat="1" x14ac:dyDescent="0.25">
      <c r="B350" s="108"/>
      <c r="C350" s="108"/>
    </row>
    <row r="351" spans="2:11" s="107" customFormat="1" x14ac:dyDescent="0.25">
      <c r="B351" s="108"/>
      <c r="C351" s="108"/>
    </row>
    <row r="352" spans="2:11" s="107" customFormat="1" x14ac:dyDescent="0.25">
      <c r="B352" s="108"/>
      <c r="C352" s="108"/>
    </row>
    <row r="353" spans="1:21" s="107" customFormat="1" x14ac:dyDescent="0.25">
      <c r="B353" s="108"/>
      <c r="C353" s="108"/>
    </row>
    <row r="354" spans="1:21" s="107" customFormat="1" x14ac:dyDescent="0.25">
      <c r="B354" s="108"/>
      <c r="C354" s="108"/>
    </row>
    <row r="355" spans="1:21" s="107" customFormat="1" x14ac:dyDescent="0.25">
      <c r="B355" s="108"/>
      <c r="C355" s="108"/>
    </row>
    <row r="356" spans="1:21" s="107" customFormat="1" x14ac:dyDescent="0.25">
      <c r="B356" s="108"/>
      <c r="C356" s="108"/>
    </row>
    <row r="357" spans="1:21" s="107" customFormat="1" x14ac:dyDescent="0.25">
      <c r="B357" s="108"/>
      <c r="C357" s="108"/>
    </row>
    <row r="358" spans="1:21" s="107" customFormat="1" x14ac:dyDescent="0.25">
      <c r="B358" s="108"/>
      <c r="C358" s="108"/>
    </row>
    <row r="359" spans="1:21" s="107" customFormat="1" x14ac:dyDescent="0.25">
      <c r="B359" s="108"/>
      <c r="C359" s="108"/>
    </row>
    <row r="360" spans="1:21" s="107" customFormat="1" x14ac:dyDescent="0.25">
      <c r="B360" s="108"/>
      <c r="C360" s="108"/>
    </row>
    <row r="361" spans="1:21" s="107" customFormat="1" x14ac:dyDescent="0.25">
      <c r="B361" s="108"/>
      <c r="C361" s="108"/>
    </row>
    <row r="362" spans="1:21" s="107" customFormat="1" x14ac:dyDescent="0.25">
      <c r="B362" s="108"/>
      <c r="C362" s="108"/>
    </row>
    <row r="363" spans="1:21" s="107" customFormat="1" x14ac:dyDescent="0.25">
      <c r="B363" s="108"/>
      <c r="C363" s="108"/>
    </row>
    <row r="364" spans="1:21" s="107" customFormat="1" x14ac:dyDescent="0.25">
      <c r="B364" s="108"/>
      <c r="C364" s="108"/>
    </row>
    <row r="365" spans="1:21" s="107" customFormat="1" x14ac:dyDescent="0.25">
      <c r="B365" s="108"/>
      <c r="C365" s="108"/>
    </row>
    <row r="366" spans="1:21" x14ac:dyDescent="0.25">
      <c r="A366" s="107"/>
      <c r="B366" s="108"/>
      <c r="C366" s="108"/>
      <c r="D366" s="107"/>
      <c r="E366" s="107"/>
      <c r="F366" s="107"/>
      <c r="G366" s="107"/>
      <c r="H366" s="107"/>
      <c r="I366" s="107"/>
      <c r="J366" s="107"/>
      <c r="K366" s="107"/>
      <c r="L366" s="107"/>
      <c r="M366" s="107"/>
      <c r="N366" s="107"/>
      <c r="O366" s="107"/>
      <c r="P366" s="107"/>
      <c r="Q366" s="107"/>
      <c r="R366" s="107"/>
      <c r="S366" s="107"/>
      <c r="T366" s="107"/>
      <c r="U366" s="107"/>
    </row>
    <row r="367" spans="1:21" x14ac:dyDescent="0.25">
      <c r="A367" s="107"/>
      <c r="B367" s="108"/>
      <c r="C367" s="108"/>
      <c r="D367" s="107"/>
      <c r="E367" s="107"/>
      <c r="F367" s="107"/>
      <c r="G367" s="107"/>
      <c r="H367" s="107"/>
      <c r="I367" s="107"/>
      <c r="J367" s="107"/>
      <c r="K367" s="107"/>
      <c r="L367" s="107"/>
      <c r="M367" s="107"/>
      <c r="N367" s="107"/>
      <c r="O367" s="107"/>
      <c r="P367" s="107"/>
      <c r="Q367" s="107"/>
      <c r="R367" s="107"/>
      <c r="S367" s="107"/>
      <c r="T367" s="107"/>
      <c r="U367" s="107"/>
    </row>
    <row r="368" spans="1:21" x14ac:dyDescent="0.25">
      <c r="A368" s="107"/>
      <c r="B368" s="108"/>
      <c r="C368" s="108"/>
      <c r="D368" s="107"/>
      <c r="E368" s="107"/>
      <c r="F368" s="107"/>
      <c r="G368" s="107"/>
      <c r="H368" s="107"/>
      <c r="I368" s="107"/>
      <c r="J368" s="107"/>
      <c r="K368" s="107"/>
      <c r="L368" s="107"/>
      <c r="M368" s="107"/>
      <c r="N368" s="107"/>
      <c r="O368" s="107"/>
      <c r="P368" s="107"/>
      <c r="Q368" s="107"/>
      <c r="R368" s="107"/>
      <c r="S368" s="107"/>
      <c r="T368" s="107"/>
      <c r="U368" s="107"/>
    </row>
    <row r="369" spans="1:21" x14ac:dyDescent="0.25">
      <c r="A369" s="107"/>
      <c r="B369" s="108"/>
      <c r="C369" s="108"/>
      <c r="D369" s="107"/>
      <c r="E369" s="107"/>
      <c r="F369" s="107"/>
      <c r="G369" s="107"/>
      <c r="H369" s="107"/>
      <c r="I369" s="107"/>
      <c r="J369" s="107"/>
      <c r="K369" s="107"/>
      <c r="L369" s="107"/>
      <c r="M369" s="107"/>
      <c r="N369" s="107"/>
      <c r="O369" s="107"/>
      <c r="P369" s="107"/>
      <c r="Q369" s="107"/>
      <c r="R369" s="107"/>
      <c r="S369" s="107"/>
      <c r="T369" s="107"/>
      <c r="U369" s="107"/>
    </row>
    <row r="370" spans="1:21" x14ac:dyDescent="0.25">
      <c r="A370" s="107"/>
      <c r="B370" s="108"/>
      <c r="C370" s="108"/>
      <c r="D370" s="107"/>
      <c r="E370" s="107"/>
      <c r="F370" s="107"/>
      <c r="G370" s="107"/>
      <c r="H370" s="107"/>
      <c r="I370" s="107"/>
      <c r="J370" s="107"/>
      <c r="K370" s="107"/>
      <c r="L370" s="107"/>
      <c r="M370" s="107"/>
      <c r="N370" s="107"/>
      <c r="O370" s="107"/>
      <c r="P370" s="107"/>
      <c r="Q370" s="107"/>
      <c r="R370" s="107"/>
      <c r="S370" s="107"/>
      <c r="T370" s="107"/>
      <c r="U370" s="107"/>
    </row>
    <row r="371" spans="1:21" x14ac:dyDescent="0.25">
      <c r="A371" s="107"/>
      <c r="B371" s="108"/>
      <c r="C371" s="108"/>
      <c r="D371" s="107"/>
      <c r="E371" s="107"/>
      <c r="F371" s="107"/>
      <c r="G371" s="107"/>
      <c r="H371" s="107"/>
      <c r="I371" s="107"/>
      <c r="J371" s="107"/>
      <c r="K371" s="107"/>
      <c r="L371" s="107"/>
      <c r="M371" s="107"/>
      <c r="N371" s="107"/>
      <c r="O371" s="107"/>
      <c r="P371" s="107"/>
      <c r="Q371" s="107"/>
      <c r="R371" s="107"/>
      <c r="S371" s="107"/>
      <c r="T371" s="107"/>
      <c r="U371" s="107"/>
    </row>
    <row r="372" spans="1:21" x14ac:dyDescent="0.25">
      <c r="A372" s="107"/>
      <c r="B372" s="108"/>
      <c r="C372" s="108"/>
      <c r="D372" s="107"/>
      <c r="E372" s="107"/>
      <c r="F372" s="107"/>
      <c r="G372" s="107"/>
      <c r="H372" s="107"/>
      <c r="I372" s="107"/>
      <c r="J372" s="107"/>
      <c r="K372" s="107"/>
      <c r="L372" s="107"/>
      <c r="M372" s="107"/>
      <c r="N372" s="107"/>
      <c r="O372" s="107"/>
      <c r="P372" s="107"/>
      <c r="Q372" s="107"/>
      <c r="R372" s="107"/>
      <c r="S372" s="107"/>
      <c r="T372" s="107"/>
      <c r="U372" s="107"/>
    </row>
    <row r="373" spans="1:21" x14ac:dyDescent="0.25">
      <c r="A373" s="107"/>
      <c r="B373" s="108"/>
      <c r="C373" s="108"/>
      <c r="D373" s="107"/>
      <c r="E373" s="107"/>
      <c r="F373" s="107"/>
      <c r="G373" s="107"/>
      <c r="H373" s="107"/>
      <c r="I373" s="107"/>
      <c r="J373" s="107"/>
      <c r="K373" s="107"/>
      <c r="L373" s="107"/>
      <c r="M373" s="107"/>
      <c r="N373" s="107"/>
      <c r="O373" s="107"/>
      <c r="P373" s="107"/>
      <c r="Q373" s="107"/>
      <c r="R373" s="107"/>
      <c r="S373" s="107"/>
      <c r="T373" s="107"/>
      <c r="U373" s="107"/>
    </row>
    <row r="374" spans="1:21" x14ac:dyDescent="0.25">
      <c r="A374" s="107"/>
      <c r="B374" s="108"/>
      <c r="C374" s="108"/>
      <c r="D374" s="107"/>
      <c r="E374" s="107"/>
      <c r="F374" s="107"/>
      <c r="G374" s="107"/>
      <c r="H374" s="107"/>
      <c r="I374" s="107"/>
      <c r="J374" s="107"/>
      <c r="K374" s="107"/>
      <c r="L374" s="107"/>
      <c r="M374" s="107"/>
      <c r="N374" s="107"/>
      <c r="O374" s="107"/>
      <c r="P374" s="107"/>
      <c r="Q374" s="107"/>
      <c r="R374" s="107"/>
      <c r="S374" s="107"/>
      <c r="T374" s="107"/>
      <c r="U374" s="107"/>
    </row>
    <row r="375" spans="1:21" x14ac:dyDescent="0.25">
      <c r="A375" s="107"/>
      <c r="B375" s="108"/>
      <c r="C375" s="108"/>
      <c r="D375" s="107"/>
      <c r="E375" s="107"/>
      <c r="F375" s="107"/>
      <c r="G375" s="107"/>
      <c r="H375" s="107"/>
      <c r="I375" s="107"/>
      <c r="J375" s="107"/>
      <c r="K375" s="107"/>
      <c r="L375" s="107"/>
      <c r="M375" s="107"/>
      <c r="N375" s="107"/>
      <c r="O375" s="107"/>
      <c r="P375" s="107"/>
      <c r="Q375" s="107"/>
      <c r="R375" s="107"/>
      <c r="S375" s="107"/>
      <c r="T375" s="107"/>
      <c r="U375" s="107"/>
    </row>
    <row r="376" spans="1:21" x14ac:dyDescent="0.25">
      <c r="A376" s="107"/>
      <c r="B376" s="108"/>
      <c r="C376" s="108"/>
      <c r="D376" s="107"/>
      <c r="E376" s="107"/>
      <c r="F376" s="107"/>
      <c r="G376" s="107"/>
      <c r="H376" s="107"/>
      <c r="I376" s="107"/>
      <c r="J376" s="107"/>
      <c r="K376" s="107"/>
      <c r="L376" s="107"/>
      <c r="M376" s="107"/>
      <c r="N376" s="107"/>
      <c r="O376" s="107"/>
      <c r="P376" s="107"/>
      <c r="Q376" s="107"/>
      <c r="R376" s="107"/>
      <c r="S376" s="107"/>
      <c r="T376" s="107"/>
      <c r="U376" s="107"/>
    </row>
    <row r="377" spans="1:21" x14ac:dyDescent="0.25">
      <c r="A377" s="107"/>
      <c r="B377" s="108"/>
      <c r="C377" s="108"/>
      <c r="D377" s="107"/>
      <c r="E377" s="107"/>
      <c r="F377" s="107"/>
      <c r="G377" s="107"/>
      <c r="H377" s="107"/>
      <c r="I377" s="107"/>
      <c r="J377" s="107"/>
      <c r="K377" s="107"/>
      <c r="L377" s="107"/>
      <c r="M377" s="107"/>
      <c r="N377" s="107"/>
      <c r="O377" s="107"/>
      <c r="P377" s="107"/>
      <c r="Q377" s="107"/>
      <c r="R377" s="107"/>
      <c r="S377" s="107"/>
      <c r="T377" s="107"/>
      <c r="U377" s="107"/>
    </row>
    <row r="378" spans="1:21" x14ac:dyDescent="0.25">
      <c r="A378" s="107"/>
      <c r="B378" s="108"/>
      <c r="C378" s="108"/>
      <c r="D378" s="107"/>
      <c r="E378" s="107"/>
      <c r="F378" s="107"/>
      <c r="G378" s="107"/>
      <c r="H378" s="107"/>
      <c r="I378" s="107"/>
      <c r="J378" s="107"/>
      <c r="K378" s="107"/>
      <c r="L378" s="107"/>
      <c r="M378" s="107"/>
      <c r="N378" s="107"/>
      <c r="O378" s="107"/>
      <c r="P378" s="107"/>
      <c r="Q378" s="107"/>
      <c r="R378" s="107"/>
      <c r="S378" s="107"/>
      <c r="T378" s="107"/>
      <c r="U378" s="107"/>
    </row>
    <row r="379" spans="1:21" x14ac:dyDescent="0.25">
      <c r="A379" s="107"/>
      <c r="B379" s="108"/>
      <c r="C379" s="108"/>
      <c r="D379" s="107"/>
      <c r="E379" s="107"/>
      <c r="F379" s="107"/>
      <c r="G379" s="107"/>
      <c r="H379" s="107"/>
      <c r="I379" s="107"/>
      <c r="J379" s="107"/>
      <c r="K379" s="107"/>
      <c r="L379" s="107"/>
      <c r="M379" s="107"/>
      <c r="N379" s="107"/>
      <c r="O379" s="107"/>
      <c r="P379" s="107"/>
      <c r="Q379" s="107"/>
      <c r="R379" s="107"/>
      <c r="S379" s="107"/>
      <c r="T379" s="107"/>
      <c r="U379" s="107"/>
    </row>
    <row r="380" spans="1:21" x14ac:dyDescent="0.25">
      <c r="A380" s="107"/>
      <c r="B380" s="108"/>
      <c r="C380" s="108"/>
      <c r="D380" s="107"/>
      <c r="E380" s="107"/>
      <c r="F380" s="107"/>
      <c r="G380" s="107"/>
      <c r="H380" s="107"/>
      <c r="I380" s="107"/>
      <c r="J380" s="107"/>
      <c r="K380" s="107"/>
      <c r="L380" s="107"/>
      <c r="M380" s="107"/>
      <c r="N380" s="107"/>
      <c r="O380" s="107"/>
      <c r="P380" s="107"/>
      <c r="Q380" s="107"/>
      <c r="R380" s="107"/>
      <c r="S380" s="107"/>
      <c r="T380" s="107"/>
      <c r="U380" s="107"/>
    </row>
    <row r="381" spans="1:21" x14ac:dyDescent="0.25">
      <c r="A381" s="107"/>
      <c r="B381" s="108"/>
      <c r="C381" s="108"/>
      <c r="D381" s="107"/>
      <c r="E381" s="107"/>
      <c r="F381" s="107"/>
      <c r="G381" s="107"/>
      <c r="H381" s="107"/>
      <c r="I381" s="107"/>
      <c r="J381" s="107"/>
      <c r="K381" s="107"/>
      <c r="L381" s="107"/>
      <c r="M381" s="107"/>
      <c r="N381" s="107"/>
      <c r="O381" s="107"/>
      <c r="P381" s="107"/>
      <c r="Q381" s="107"/>
      <c r="R381" s="107"/>
      <c r="S381" s="107"/>
      <c r="T381" s="107"/>
      <c r="U381" s="107"/>
    </row>
    <row r="382" spans="1:21" x14ac:dyDescent="0.25">
      <c r="A382" s="107"/>
      <c r="B382" s="108"/>
      <c r="C382" s="108"/>
      <c r="D382" s="107"/>
      <c r="E382" s="107"/>
      <c r="F382" s="107"/>
      <c r="G382" s="107"/>
      <c r="H382" s="107"/>
      <c r="I382" s="107"/>
      <c r="J382" s="107"/>
      <c r="K382" s="107"/>
      <c r="L382" s="107"/>
      <c r="M382" s="107"/>
      <c r="N382" s="107"/>
      <c r="O382" s="107"/>
      <c r="P382" s="107"/>
      <c r="Q382" s="107"/>
      <c r="R382" s="107"/>
      <c r="S382" s="107"/>
      <c r="T382" s="107"/>
      <c r="U382" s="107"/>
    </row>
    <row r="383" spans="1:21" x14ac:dyDescent="0.25">
      <c r="A383" s="107"/>
      <c r="B383" s="108"/>
      <c r="C383" s="108"/>
      <c r="D383" s="107"/>
      <c r="E383" s="107"/>
      <c r="F383" s="107"/>
      <c r="G383" s="107"/>
      <c r="H383" s="107"/>
      <c r="I383" s="107"/>
      <c r="J383" s="107"/>
      <c r="K383" s="107"/>
      <c r="L383" s="107"/>
      <c r="M383" s="107"/>
      <c r="N383" s="107"/>
      <c r="O383" s="107"/>
      <c r="P383" s="107"/>
      <c r="Q383" s="107"/>
      <c r="R383" s="107"/>
      <c r="S383" s="107"/>
      <c r="T383" s="107"/>
      <c r="U383" s="107"/>
    </row>
    <row r="384" spans="1:21" x14ac:dyDescent="0.25">
      <c r="A384" s="107"/>
      <c r="B384" s="108"/>
      <c r="C384" s="108"/>
      <c r="D384" s="107"/>
      <c r="E384" s="107"/>
      <c r="F384" s="107"/>
      <c r="G384" s="107"/>
      <c r="H384" s="107"/>
      <c r="I384" s="107"/>
      <c r="J384" s="107"/>
      <c r="K384" s="107"/>
      <c r="L384" s="107"/>
      <c r="M384" s="107"/>
      <c r="N384" s="107"/>
      <c r="O384" s="107"/>
      <c r="P384" s="107"/>
      <c r="Q384" s="107"/>
      <c r="R384" s="107"/>
      <c r="S384" s="107"/>
      <c r="T384" s="107"/>
      <c r="U384" s="107"/>
    </row>
    <row r="385" spans="1:21" x14ac:dyDescent="0.25">
      <c r="A385" s="107"/>
      <c r="B385" s="108"/>
      <c r="C385" s="108"/>
      <c r="D385" s="107"/>
      <c r="E385" s="107"/>
      <c r="F385" s="107"/>
      <c r="G385" s="107"/>
      <c r="H385" s="107"/>
      <c r="I385" s="107"/>
      <c r="J385" s="107"/>
      <c r="K385" s="107"/>
      <c r="L385" s="107"/>
      <c r="M385" s="107"/>
      <c r="N385" s="107"/>
      <c r="O385" s="107"/>
      <c r="P385" s="107"/>
      <c r="Q385" s="107"/>
      <c r="R385" s="107"/>
      <c r="S385" s="107"/>
      <c r="T385" s="107"/>
      <c r="U385" s="107"/>
    </row>
    <row r="386" spans="1:21" x14ac:dyDescent="0.25">
      <c r="A386" s="107"/>
      <c r="B386" s="108"/>
      <c r="C386" s="108"/>
      <c r="D386" s="107"/>
      <c r="E386" s="107"/>
      <c r="F386" s="107"/>
      <c r="G386" s="107"/>
      <c r="H386" s="107"/>
      <c r="I386" s="107"/>
      <c r="J386" s="107"/>
      <c r="K386" s="107"/>
      <c r="L386" s="107"/>
      <c r="M386" s="107"/>
      <c r="N386" s="107"/>
      <c r="O386" s="107"/>
      <c r="P386" s="107"/>
      <c r="Q386" s="107"/>
      <c r="R386" s="107"/>
      <c r="S386" s="107"/>
      <c r="T386" s="107"/>
      <c r="U386" s="107"/>
    </row>
    <row r="387" spans="1:21" x14ac:dyDescent="0.25">
      <c r="A387" s="107"/>
      <c r="B387" s="108"/>
      <c r="C387" s="108"/>
      <c r="D387" s="107"/>
      <c r="E387" s="107"/>
      <c r="F387" s="107"/>
      <c r="G387" s="107"/>
      <c r="H387" s="107"/>
      <c r="I387" s="107"/>
      <c r="J387" s="107"/>
      <c r="K387" s="107"/>
      <c r="L387" s="107"/>
      <c r="M387" s="107"/>
      <c r="N387" s="107"/>
      <c r="O387" s="107"/>
      <c r="P387" s="107"/>
      <c r="Q387" s="107"/>
      <c r="R387" s="107"/>
      <c r="S387" s="107"/>
      <c r="T387" s="107"/>
      <c r="U387" s="107"/>
    </row>
    <row r="388" spans="1:21" x14ac:dyDescent="0.25">
      <c r="A388" s="107"/>
      <c r="B388" s="107"/>
      <c r="C388" s="108"/>
      <c r="D388" s="107"/>
      <c r="E388" s="107"/>
      <c r="F388" s="107"/>
      <c r="G388" s="107"/>
      <c r="H388" s="107"/>
      <c r="I388" s="107"/>
      <c r="J388" s="107"/>
      <c r="K388" s="107"/>
      <c r="L388" s="107"/>
      <c r="M388" s="107"/>
      <c r="N388" s="107"/>
      <c r="O388" s="107"/>
      <c r="P388" s="107"/>
      <c r="Q388" s="107"/>
      <c r="R388" s="107"/>
      <c r="S388" s="107"/>
      <c r="T388" s="107"/>
      <c r="U388" s="107"/>
    </row>
    <row r="389" spans="1:21" x14ac:dyDescent="0.25">
      <c r="A389" s="107"/>
      <c r="B389" s="107"/>
      <c r="C389" s="108"/>
      <c r="D389" s="107"/>
      <c r="E389" s="107"/>
      <c r="F389" s="107"/>
      <c r="G389" s="107"/>
      <c r="H389" s="107"/>
      <c r="I389" s="107"/>
      <c r="J389" s="107"/>
      <c r="K389" s="107"/>
      <c r="L389" s="107"/>
      <c r="M389" s="107"/>
      <c r="N389" s="107"/>
      <c r="O389" s="107"/>
      <c r="P389" s="107"/>
      <c r="Q389" s="107"/>
      <c r="R389" s="107"/>
      <c r="S389" s="107"/>
      <c r="T389" s="107"/>
      <c r="U389" s="107"/>
    </row>
    <row r="390" spans="1:21" x14ac:dyDescent="0.25">
      <c r="A390" s="107"/>
      <c r="B390" s="107"/>
      <c r="C390" s="108"/>
      <c r="D390" s="107"/>
      <c r="E390" s="107"/>
      <c r="F390" s="107"/>
      <c r="G390" s="107"/>
      <c r="H390" s="107"/>
      <c r="I390" s="107"/>
      <c r="J390" s="107"/>
      <c r="K390" s="107"/>
      <c r="L390" s="107"/>
      <c r="M390" s="107"/>
      <c r="N390" s="107"/>
      <c r="O390" s="107"/>
      <c r="P390" s="107"/>
      <c r="Q390" s="107"/>
      <c r="R390" s="107"/>
      <c r="S390" s="107"/>
      <c r="T390" s="107"/>
      <c r="U390" s="107"/>
    </row>
    <row r="391" spans="1:21" x14ac:dyDescent="0.25">
      <c r="A391" s="107"/>
      <c r="B391" s="107"/>
      <c r="C391" s="108"/>
      <c r="D391" s="107"/>
      <c r="E391" s="107"/>
      <c r="F391" s="107"/>
      <c r="G391" s="107"/>
      <c r="H391" s="107"/>
      <c r="I391" s="107"/>
      <c r="J391" s="107"/>
      <c r="K391" s="107"/>
      <c r="L391" s="107"/>
      <c r="M391" s="107"/>
      <c r="N391" s="107"/>
      <c r="O391" s="107"/>
      <c r="P391" s="107"/>
      <c r="Q391" s="107"/>
      <c r="R391" s="107"/>
      <c r="S391" s="107"/>
      <c r="T391" s="107"/>
      <c r="U391" s="107"/>
    </row>
    <row r="392" spans="1:21" x14ac:dyDescent="0.25">
      <c r="A392" s="107"/>
      <c r="B392" s="107"/>
      <c r="C392" s="108"/>
      <c r="D392" s="107"/>
      <c r="E392" s="107"/>
      <c r="F392" s="107"/>
      <c r="G392" s="107"/>
      <c r="H392" s="107"/>
      <c r="I392" s="107"/>
      <c r="J392" s="107"/>
      <c r="K392" s="107"/>
      <c r="L392" s="107"/>
      <c r="M392" s="107"/>
      <c r="N392" s="107"/>
      <c r="O392" s="107"/>
      <c r="P392" s="107"/>
      <c r="Q392" s="107"/>
      <c r="R392" s="107"/>
      <c r="S392" s="107"/>
      <c r="T392" s="107"/>
      <c r="U392" s="107"/>
    </row>
    <row r="393" spans="1:21" x14ac:dyDescent="0.25">
      <c r="A393" s="107"/>
      <c r="B393" s="107"/>
      <c r="C393" s="108"/>
      <c r="D393" s="107"/>
      <c r="E393" s="107"/>
      <c r="F393" s="107"/>
      <c r="G393" s="107"/>
      <c r="H393" s="107"/>
      <c r="I393" s="107"/>
      <c r="J393" s="107"/>
      <c r="K393" s="107"/>
      <c r="L393" s="107"/>
      <c r="M393" s="107"/>
      <c r="N393" s="107"/>
      <c r="O393" s="107"/>
      <c r="P393" s="107"/>
      <c r="Q393" s="107"/>
      <c r="R393" s="107"/>
      <c r="S393" s="107"/>
      <c r="T393" s="107"/>
      <c r="U393" s="107"/>
    </row>
    <row r="394" spans="1:21" x14ac:dyDescent="0.25">
      <c r="A394" s="107"/>
      <c r="B394" s="107"/>
      <c r="C394" s="108"/>
      <c r="D394" s="107"/>
      <c r="E394" s="107"/>
      <c r="F394" s="107"/>
      <c r="G394" s="107"/>
      <c r="H394" s="107"/>
      <c r="I394" s="107"/>
      <c r="J394" s="107"/>
      <c r="K394" s="107"/>
      <c r="L394" s="107"/>
      <c r="M394" s="107"/>
      <c r="N394" s="107"/>
      <c r="O394" s="107"/>
      <c r="P394" s="107"/>
      <c r="Q394" s="107"/>
      <c r="R394" s="107"/>
      <c r="S394" s="107"/>
      <c r="T394" s="107"/>
      <c r="U394" s="107"/>
    </row>
    <row r="395" spans="1:21" x14ac:dyDescent="0.25">
      <c r="A395" s="107"/>
      <c r="B395" s="107"/>
      <c r="C395" s="108"/>
      <c r="D395" s="107"/>
      <c r="E395" s="107"/>
      <c r="F395" s="107"/>
      <c r="G395" s="107"/>
      <c r="H395" s="107"/>
      <c r="I395" s="107"/>
      <c r="J395" s="107"/>
      <c r="K395" s="107"/>
      <c r="L395" s="107"/>
      <c r="M395" s="107"/>
      <c r="N395" s="107"/>
      <c r="O395" s="107"/>
      <c r="P395" s="107"/>
      <c r="Q395" s="107"/>
      <c r="R395" s="107"/>
      <c r="S395" s="107"/>
      <c r="T395" s="107"/>
      <c r="U395" s="107"/>
    </row>
    <row r="396" spans="1:21" x14ac:dyDescent="0.25">
      <c r="A396" s="107"/>
      <c r="B396" s="107"/>
      <c r="C396" s="108"/>
      <c r="D396" s="107"/>
      <c r="E396" s="107"/>
      <c r="F396" s="107"/>
      <c r="G396" s="107"/>
      <c r="H396" s="107"/>
      <c r="I396" s="107"/>
      <c r="J396" s="107"/>
      <c r="K396" s="107"/>
      <c r="L396" s="107"/>
      <c r="M396" s="107"/>
      <c r="N396" s="107"/>
      <c r="O396" s="107"/>
      <c r="P396" s="107"/>
      <c r="Q396" s="107"/>
      <c r="R396" s="107"/>
      <c r="S396" s="107"/>
      <c r="T396" s="107"/>
      <c r="U396" s="107"/>
    </row>
    <row r="397" spans="1:21" x14ac:dyDescent="0.25">
      <c r="A397" s="107"/>
      <c r="B397" s="107"/>
      <c r="C397" s="108"/>
      <c r="D397" s="107"/>
      <c r="E397" s="107"/>
      <c r="F397" s="107"/>
      <c r="G397" s="107"/>
      <c r="H397" s="107"/>
      <c r="I397" s="107"/>
      <c r="J397" s="107"/>
      <c r="K397" s="107"/>
      <c r="L397" s="107"/>
      <c r="M397" s="107"/>
      <c r="N397" s="107"/>
      <c r="O397" s="107"/>
      <c r="P397" s="107"/>
      <c r="Q397" s="107"/>
      <c r="R397" s="107"/>
      <c r="S397" s="107"/>
      <c r="T397" s="107"/>
      <c r="U397" s="107"/>
    </row>
    <row r="398" spans="1:21" x14ac:dyDescent="0.25">
      <c r="A398" s="107"/>
      <c r="B398" s="107"/>
      <c r="C398" s="108"/>
      <c r="D398" s="107"/>
      <c r="E398" s="107"/>
      <c r="F398" s="107"/>
      <c r="G398" s="107"/>
      <c r="H398" s="107"/>
      <c r="I398" s="107"/>
      <c r="J398" s="107"/>
      <c r="K398" s="107"/>
      <c r="L398" s="107"/>
      <c r="M398" s="107"/>
      <c r="N398" s="107"/>
      <c r="O398" s="107"/>
      <c r="P398" s="107"/>
      <c r="Q398" s="107"/>
      <c r="R398" s="107"/>
      <c r="S398" s="107"/>
      <c r="T398" s="107"/>
      <c r="U398" s="107"/>
    </row>
    <row r="399" spans="1:21" x14ac:dyDescent="0.25">
      <c r="A399" s="107"/>
      <c r="B399" s="107"/>
      <c r="C399" s="108"/>
      <c r="D399" s="107"/>
      <c r="E399" s="107"/>
      <c r="F399" s="107"/>
      <c r="G399" s="107"/>
      <c r="H399" s="107"/>
      <c r="I399" s="107"/>
      <c r="J399" s="107"/>
      <c r="K399" s="107"/>
      <c r="L399" s="107"/>
      <c r="M399" s="107"/>
      <c r="N399" s="107"/>
      <c r="O399" s="107"/>
      <c r="P399" s="107"/>
      <c r="Q399" s="107"/>
      <c r="R399" s="107"/>
      <c r="S399" s="107"/>
      <c r="T399" s="107"/>
      <c r="U399" s="107"/>
    </row>
    <row r="400" spans="1:21" x14ac:dyDescent="0.25">
      <c r="A400" s="107"/>
      <c r="B400" s="107"/>
      <c r="C400" s="108"/>
      <c r="D400" s="107"/>
      <c r="E400" s="107"/>
      <c r="F400" s="107"/>
      <c r="G400" s="107"/>
      <c r="H400" s="107"/>
      <c r="I400" s="107"/>
      <c r="J400" s="107"/>
      <c r="K400" s="107"/>
      <c r="L400" s="107"/>
      <c r="M400" s="107"/>
      <c r="N400" s="107"/>
      <c r="O400" s="107"/>
      <c r="P400" s="107"/>
      <c r="Q400" s="107"/>
      <c r="R400" s="107"/>
      <c r="S400" s="107"/>
      <c r="T400" s="107"/>
      <c r="U400" s="107"/>
    </row>
    <row r="401" spans="1:21" x14ac:dyDescent="0.25">
      <c r="A401" s="107"/>
      <c r="B401" s="107"/>
      <c r="C401" s="108"/>
      <c r="D401" s="107"/>
      <c r="E401" s="107"/>
      <c r="F401" s="107"/>
      <c r="G401" s="107"/>
      <c r="H401" s="107"/>
      <c r="I401" s="107"/>
      <c r="J401" s="107"/>
      <c r="K401" s="107"/>
      <c r="L401" s="107"/>
      <c r="M401" s="107"/>
      <c r="N401" s="107"/>
      <c r="O401" s="107"/>
      <c r="P401" s="107"/>
      <c r="Q401" s="107"/>
      <c r="R401" s="107"/>
      <c r="S401" s="107"/>
      <c r="T401" s="107"/>
      <c r="U401" s="107"/>
    </row>
    <row r="402" spans="1:21" x14ac:dyDescent="0.25">
      <c r="A402" s="107"/>
      <c r="B402" s="107"/>
      <c r="C402" s="108"/>
      <c r="D402" s="107"/>
      <c r="E402" s="107"/>
      <c r="F402" s="107"/>
      <c r="G402" s="107"/>
      <c r="H402" s="107"/>
      <c r="I402" s="107"/>
      <c r="J402" s="107"/>
      <c r="K402" s="107"/>
      <c r="L402" s="107"/>
      <c r="M402" s="107"/>
      <c r="N402" s="107"/>
      <c r="O402" s="107"/>
      <c r="P402" s="107"/>
      <c r="Q402" s="107"/>
      <c r="R402" s="107"/>
      <c r="S402" s="107"/>
      <c r="T402" s="107"/>
      <c r="U402" s="107"/>
    </row>
    <row r="403" spans="1:21" x14ac:dyDescent="0.25">
      <c r="A403" s="107"/>
      <c r="B403" s="107"/>
      <c r="C403" s="108"/>
      <c r="D403" s="107"/>
      <c r="E403" s="107"/>
      <c r="F403" s="107"/>
      <c r="G403" s="107"/>
      <c r="H403" s="107"/>
      <c r="I403" s="107"/>
      <c r="J403" s="107"/>
      <c r="K403" s="107"/>
      <c r="L403" s="107"/>
      <c r="M403" s="107"/>
      <c r="N403" s="107"/>
      <c r="O403" s="107"/>
      <c r="P403" s="107"/>
      <c r="Q403" s="107"/>
      <c r="R403" s="107"/>
      <c r="S403" s="107"/>
      <c r="T403" s="107"/>
      <c r="U403" s="107"/>
    </row>
    <row r="404" spans="1:21" x14ac:dyDescent="0.25">
      <c r="A404" s="107"/>
      <c r="B404" s="107"/>
      <c r="C404" s="108"/>
      <c r="D404" s="107"/>
      <c r="E404" s="107"/>
      <c r="F404" s="107"/>
      <c r="G404" s="107"/>
      <c r="H404" s="107"/>
      <c r="I404" s="107"/>
      <c r="J404" s="107"/>
      <c r="K404" s="107"/>
      <c r="L404" s="107"/>
      <c r="M404" s="107"/>
      <c r="N404" s="107"/>
      <c r="O404" s="107"/>
      <c r="P404" s="107"/>
      <c r="Q404" s="107"/>
      <c r="R404" s="107"/>
      <c r="S404" s="107"/>
      <c r="T404" s="107"/>
      <c r="U404" s="107"/>
    </row>
    <row r="405" spans="1:21" x14ac:dyDescent="0.25">
      <c r="A405" s="107"/>
      <c r="B405" s="107"/>
      <c r="C405" s="108"/>
      <c r="D405" s="107"/>
      <c r="E405" s="107"/>
      <c r="F405" s="107"/>
      <c r="G405" s="107"/>
      <c r="H405" s="107"/>
      <c r="I405" s="107"/>
      <c r="J405" s="107"/>
      <c r="K405" s="107"/>
      <c r="L405" s="107"/>
      <c r="M405" s="107"/>
      <c r="N405" s="107"/>
      <c r="O405" s="107"/>
      <c r="P405" s="107"/>
      <c r="Q405" s="107"/>
      <c r="R405" s="107"/>
      <c r="S405" s="107"/>
      <c r="T405" s="107"/>
      <c r="U405" s="107"/>
    </row>
    <row r="406" spans="1:21" x14ac:dyDescent="0.25">
      <c r="A406" s="107"/>
      <c r="B406" s="107"/>
      <c r="C406" s="108"/>
      <c r="D406" s="107"/>
      <c r="E406" s="107"/>
      <c r="F406" s="107"/>
      <c r="G406" s="107"/>
      <c r="H406" s="107"/>
      <c r="I406" s="107"/>
      <c r="J406" s="107"/>
      <c r="K406" s="107"/>
      <c r="L406" s="107"/>
      <c r="M406" s="107"/>
      <c r="N406" s="107"/>
      <c r="O406" s="107"/>
      <c r="P406" s="107"/>
      <c r="Q406" s="107"/>
      <c r="R406" s="107"/>
      <c r="S406" s="107"/>
      <c r="T406" s="107"/>
      <c r="U406" s="107"/>
    </row>
    <row r="407" spans="1:21" x14ac:dyDescent="0.25">
      <c r="A407" s="107"/>
      <c r="B407" s="107"/>
      <c r="C407" s="108"/>
      <c r="D407" s="107"/>
      <c r="E407" s="107"/>
      <c r="F407" s="107"/>
      <c r="G407" s="107"/>
      <c r="H407" s="107"/>
      <c r="I407" s="107"/>
      <c r="J407" s="107"/>
      <c r="K407" s="107"/>
      <c r="L407" s="107"/>
      <c r="M407" s="107"/>
      <c r="N407" s="107"/>
      <c r="O407" s="107"/>
      <c r="P407" s="107"/>
      <c r="Q407" s="107"/>
      <c r="R407" s="107"/>
      <c r="S407" s="107"/>
      <c r="T407" s="107"/>
      <c r="U407" s="107"/>
    </row>
    <row r="408" spans="1:21" x14ac:dyDescent="0.25">
      <c r="A408" s="107"/>
      <c r="B408" s="107"/>
      <c r="C408" s="108"/>
      <c r="D408" s="107"/>
      <c r="E408" s="107"/>
      <c r="F408" s="107"/>
      <c r="G408" s="107"/>
      <c r="H408" s="107"/>
      <c r="I408" s="107"/>
      <c r="J408" s="107"/>
      <c r="K408" s="107"/>
      <c r="L408" s="107"/>
      <c r="M408" s="107"/>
      <c r="N408" s="107"/>
      <c r="O408" s="107"/>
      <c r="P408" s="107"/>
      <c r="Q408" s="107"/>
      <c r="R408" s="107"/>
      <c r="S408" s="107"/>
      <c r="T408" s="107"/>
      <c r="U408" s="107"/>
    </row>
    <row r="409" spans="1:21" x14ac:dyDescent="0.25">
      <c r="A409" s="107"/>
      <c r="B409" s="107"/>
      <c r="C409" s="108"/>
      <c r="D409" s="107"/>
      <c r="E409" s="107"/>
      <c r="F409" s="107"/>
      <c r="G409" s="107"/>
      <c r="H409" s="107"/>
      <c r="I409" s="107"/>
      <c r="J409" s="107"/>
      <c r="K409" s="107"/>
      <c r="L409" s="107"/>
      <c r="M409" s="107"/>
      <c r="N409" s="107"/>
      <c r="O409" s="107"/>
      <c r="P409" s="107"/>
      <c r="Q409" s="107"/>
      <c r="R409" s="107"/>
      <c r="S409" s="107"/>
      <c r="T409" s="107"/>
      <c r="U409" s="107"/>
    </row>
    <row r="410" spans="1:21" x14ac:dyDescent="0.25">
      <c r="A410" s="107"/>
      <c r="B410" s="107"/>
      <c r="C410" s="108"/>
      <c r="D410" s="107"/>
      <c r="E410" s="107"/>
      <c r="F410" s="107"/>
      <c r="G410" s="107"/>
      <c r="H410" s="107"/>
      <c r="I410" s="107"/>
      <c r="J410" s="107"/>
      <c r="K410" s="107"/>
      <c r="L410" s="107"/>
      <c r="M410" s="107"/>
      <c r="N410" s="107"/>
      <c r="O410" s="107"/>
      <c r="P410" s="107"/>
      <c r="Q410" s="107"/>
      <c r="R410" s="107"/>
      <c r="S410" s="107"/>
      <c r="T410" s="107"/>
      <c r="U410" s="107"/>
    </row>
    <row r="411" spans="1:21" x14ac:dyDescent="0.25">
      <c r="A411" s="107"/>
      <c r="B411" s="107"/>
      <c r="C411" s="108"/>
      <c r="D411" s="107"/>
      <c r="E411" s="107"/>
      <c r="F411" s="107"/>
      <c r="G411" s="107"/>
      <c r="H411" s="107"/>
      <c r="I411" s="107"/>
      <c r="J411" s="107"/>
      <c r="K411" s="107"/>
      <c r="L411" s="107"/>
      <c r="M411" s="107"/>
      <c r="N411" s="107"/>
      <c r="O411" s="107"/>
      <c r="P411" s="107"/>
      <c r="Q411" s="107"/>
      <c r="R411" s="107"/>
      <c r="S411" s="107"/>
      <c r="T411" s="107"/>
      <c r="U411" s="107"/>
    </row>
    <row r="412" spans="1:21" x14ac:dyDescent="0.25">
      <c r="A412" s="107"/>
      <c r="B412" s="107"/>
      <c r="C412" s="108"/>
      <c r="D412" s="107"/>
      <c r="E412" s="107"/>
      <c r="F412" s="107"/>
      <c r="G412" s="107"/>
      <c r="H412" s="107"/>
      <c r="I412" s="107"/>
      <c r="J412" s="107"/>
      <c r="K412" s="107"/>
      <c r="L412" s="107"/>
      <c r="M412" s="107"/>
      <c r="N412" s="107"/>
      <c r="O412" s="107"/>
      <c r="P412" s="107"/>
      <c r="Q412" s="107"/>
      <c r="R412" s="107"/>
      <c r="S412" s="107"/>
      <c r="T412" s="107"/>
      <c r="U412" s="107"/>
    </row>
    <row r="413" spans="1:21" x14ac:dyDescent="0.25">
      <c r="A413" s="107"/>
      <c r="B413" s="107"/>
      <c r="C413" s="108"/>
      <c r="D413" s="107"/>
      <c r="E413" s="107"/>
      <c r="F413" s="107"/>
      <c r="G413" s="107"/>
      <c r="H413" s="107"/>
      <c r="I413" s="107"/>
      <c r="J413" s="107"/>
      <c r="K413" s="107"/>
      <c r="L413" s="107"/>
      <c r="M413" s="107"/>
      <c r="N413" s="107"/>
      <c r="O413" s="107"/>
      <c r="P413" s="107"/>
      <c r="Q413" s="107"/>
      <c r="R413" s="107"/>
      <c r="S413" s="107"/>
      <c r="T413" s="107"/>
      <c r="U413" s="107"/>
    </row>
    <row r="414" spans="1:21" x14ac:dyDescent="0.25">
      <c r="A414" s="107"/>
      <c r="B414" s="107"/>
      <c r="C414" s="108"/>
      <c r="D414" s="107"/>
      <c r="E414" s="107"/>
      <c r="F414" s="107"/>
      <c r="G414" s="107"/>
      <c r="H414" s="107"/>
      <c r="I414" s="107"/>
      <c r="J414" s="107"/>
      <c r="K414" s="107"/>
      <c r="L414" s="107"/>
      <c r="M414" s="107"/>
      <c r="N414" s="107"/>
      <c r="O414" s="107"/>
      <c r="P414" s="107"/>
      <c r="Q414" s="107"/>
      <c r="R414" s="107"/>
      <c r="S414" s="107"/>
      <c r="T414" s="107"/>
      <c r="U414" s="107"/>
    </row>
    <row r="415" spans="1:21" x14ac:dyDescent="0.25">
      <c r="A415" s="107"/>
      <c r="B415" s="107"/>
      <c r="C415" s="108"/>
      <c r="D415" s="107"/>
      <c r="E415" s="107"/>
      <c r="F415" s="107"/>
      <c r="G415" s="107"/>
      <c r="H415" s="107"/>
      <c r="I415" s="107"/>
      <c r="J415" s="107"/>
      <c r="K415" s="107"/>
      <c r="L415" s="107"/>
      <c r="M415" s="107"/>
      <c r="N415" s="107"/>
      <c r="O415" s="107"/>
      <c r="P415" s="107"/>
      <c r="Q415" s="107"/>
      <c r="R415" s="107"/>
      <c r="S415" s="107"/>
      <c r="T415" s="107"/>
      <c r="U415" s="107"/>
    </row>
    <row r="416" spans="1:21" x14ac:dyDescent="0.25">
      <c r="A416" s="107"/>
      <c r="B416" s="107"/>
      <c r="C416" s="108"/>
      <c r="D416" s="107"/>
      <c r="E416" s="107"/>
      <c r="F416" s="107"/>
      <c r="G416" s="107"/>
      <c r="H416" s="107"/>
      <c r="I416" s="107"/>
      <c r="J416" s="107"/>
      <c r="K416" s="107"/>
      <c r="L416" s="107"/>
      <c r="M416" s="107"/>
      <c r="N416" s="107"/>
      <c r="O416" s="107"/>
      <c r="P416" s="107"/>
      <c r="Q416" s="107"/>
      <c r="R416" s="107"/>
      <c r="S416" s="107"/>
      <c r="T416" s="107"/>
      <c r="U416" s="107"/>
    </row>
    <row r="417" spans="1:21" x14ac:dyDescent="0.25">
      <c r="A417" s="107"/>
      <c r="B417" s="107"/>
      <c r="C417" s="108"/>
      <c r="D417" s="107"/>
      <c r="E417" s="107"/>
      <c r="F417" s="107"/>
      <c r="G417" s="107"/>
      <c r="H417" s="107"/>
      <c r="I417" s="107"/>
      <c r="J417" s="107"/>
      <c r="K417" s="107"/>
      <c r="L417" s="107"/>
      <c r="M417" s="107"/>
      <c r="N417" s="107"/>
      <c r="O417" s="107"/>
      <c r="P417" s="107"/>
      <c r="Q417" s="107"/>
      <c r="R417" s="107"/>
      <c r="S417" s="107"/>
      <c r="T417" s="107"/>
      <c r="U417" s="107"/>
    </row>
    <row r="418" spans="1:21" x14ac:dyDescent="0.25">
      <c r="A418" s="107"/>
      <c r="B418" s="107"/>
      <c r="C418" s="108"/>
      <c r="D418" s="107"/>
      <c r="E418" s="107"/>
      <c r="F418" s="107"/>
      <c r="G418" s="107"/>
      <c r="H418" s="107"/>
      <c r="I418" s="107"/>
      <c r="J418" s="107"/>
      <c r="K418" s="107"/>
      <c r="L418" s="107"/>
      <c r="M418" s="107"/>
      <c r="N418" s="107"/>
      <c r="O418" s="107"/>
      <c r="P418" s="107"/>
      <c r="Q418" s="107"/>
      <c r="R418" s="107"/>
      <c r="S418" s="107"/>
      <c r="T418" s="107"/>
      <c r="U418" s="107"/>
    </row>
    <row r="419" spans="1:21" x14ac:dyDescent="0.25">
      <c r="A419" s="107"/>
      <c r="B419" s="107"/>
      <c r="C419" s="108"/>
      <c r="D419" s="107"/>
      <c r="E419" s="107"/>
      <c r="F419" s="107"/>
      <c r="G419" s="107"/>
      <c r="H419" s="107"/>
      <c r="I419" s="107"/>
      <c r="J419" s="107"/>
      <c r="K419" s="107"/>
      <c r="L419" s="107"/>
      <c r="M419" s="107"/>
      <c r="N419" s="107"/>
      <c r="O419" s="107"/>
      <c r="P419" s="107"/>
      <c r="Q419" s="107"/>
      <c r="R419" s="107"/>
      <c r="S419" s="107"/>
      <c r="T419" s="107"/>
      <c r="U419" s="107"/>
    </row>
    <row r="420" spans="1:21" x14ac:dyDescent="0.25">
      <c r="A420" s="107"/>
      <c r="B420" s="107"/>
      <c r="C420" s="108"/>
      <c r="D420" s="107"/>
      <c r="E420" s="107"/>
      <c r="F420" s="107"/>
      <c r="G420" s="107"/>
      <c r="H420" s="107"/>
      <c r="I420" s="107"/>
      <c r="J420" s="107"/>
      <c r="K420" s="107"/>
      <c r="L420" s="107"/>
      <c r="M420" s="107"/>
      <c r="N420" s="107"/>
      <c r="O420" s="107"/>
      <c r="P420" s="107"/>
      <c r="Q420" s="107"/>
      <c r="R420" s="107"/>
      <c r="S420" s="107"/>
      <c r="T420" s="107"/>
      <c r="U420" s="107"/>
    </row>
    <row r="421" spans="1:21" x14ac:dyDescent="0.25">
      <c r="A421" s="107"/>
      <c r="B421" s="107"/>
      <c r="C421" s="108"/>
      <c r="D421" s="107"/>
      <c r="E421" s="107"/>
      <c r="F421" s="107"/>
      <c r="G421" s="107"/>
      <c r="H421" s="107"/>
      <c r="I421" s="107"/>
      <c r="J421" s="107"/>
      <c r="K421" s="107"/>
      <c r="L421" s="107"/>
      <c r="M421" s="107"/>
      <c r="N421" s="107"/>
      <c r="O421" s="107"/>
      <c r="P421" s="107"/>
      <c r="Q421" s="107"/>
      <c r="R421" s="107"/>
      <c r="S421" s="107"/>
      <c r="T421" s="107"/>
      <c r="U421" s="107"/>
    </row>
    <row r="422" spans="1:21" x14ac:dyDescent="0.25">
      <c r="A422" s="107"/>
      <c r="B422" s="107"/>
      <c r="C422" s="108"/>
      <c r="D422" s="107"/>
      <c r="E422" s="107"/>
      <c r="F422" s="107"/>
      <c r="G422" s="107"/>
      <c r="H422" s="107"/>
      <c r="I422" s="107"/>
      <c r="J422" s="107"/>
      <c r="K422" s="107"/>
      <c r="L422" s="107"/>
      <c r="M422" s="107"/>
      <c r="N422" s="107"/>
      <c r="O422" s="107"/>
      <c r="P422" s="107"/>
      <c r="Q422" s="107"/>
      <c r="R422" s="107"/>
      <c r="S422" s="107"/>
      <c r="T422" s="107"/>
      <c r="U422" s="107"/>
    </row>
    <row r="423" spans="1:21" x14ac:dyDescent="0.25">
      <c r="A423" s="107"/>
      <c r="B423" s="107"/>
      <c r="C423" s="108"/>
      <c r="D423" s="107"/>
      <c r="E423" s="107"/>
      <c r="F423" s="107"/>
      <c r="G423" s="107"/>
      <c r="H423" s="107"/>
      <c r="I423" s="107"/>
      <c r="J423" s="107"/>
      <c r="K423" s="107"/>
      <c r="L423" s="107"/>
      <c r="M423" s="107"/>
      <c r="N423" s="107"/>
      <c r="O423" s="107"/>
      <c r="P423" s="107"/>
      <c r="Q423" s="107"/>
      <c r="R423" s="107"/>
      <c r="S423" s="107"/>
      <c r="T423" s="107"/>
      <c r="U423" s="107"/>
    </row>
    <row r="424" spans="1:21" x14ac:dyDescent="0.25">
      <c r="A424" s="107"/>
      <c r="B424" s="107"/>
      <c r="C424" s="108"/>
      <c r="D424" s="107"/>
      <c r="E424" s="107"/>
      <c r="F424" s="107"/>
      <c r="G424" s="107"/>
      <c r="H424" s="107"/>
      <c r="I424" s="107"/>
      <c r="J424" s="107"/>
      <c r="K424" s="107"/>
      <c r="L424" s="107"/>
      <c r="M424" s="107"/>
      <c r="N424" s="107"/>
      <c r="O424" s="107"/>
      <c r="P424" s="107"/>
      <c r="Q424" s="107"/>
      <c r="R424" s="107"/>
      <c r="S424" s="107"/>
      <c r="T424" s="107"/>
      <c r="U424" s="107"/>
    </row>
    <row r="425" spans="1:21" x14ac:dyDescent="0.25">
      <c r="A425" s="107"/>
      <c r="B425" s="107"/>
      <c r="C425" s="108"/>
      <c r="D425" s="107"/>
      <c r="E425" s="107"/>
      <c r="F425" s="107"/>
      <c r="G425" s="107"/>
      <c r="H425" s="107"/>
      <c r="I425" s="107"/>
      <c r="J425" s="107"/>
      <c r="K425" s="107"/>
      <c r="L425" s="107"/>
      <c r="M425" s="107"/>
      <c r="N425" s="107"/>
      <c r="O425" s="107"/>
      <c r="P425" s="107"/>
      <c r="Q425" s="107"/>
      <c r="R425" s="107"/>
      <c r="S425" s="107"/>
      <c r="T425" s="107"/>
      <c r="U425" s="107"/>
    </row>
    <row r="426" spans="1:21" x14ac:dyDescent="0.25">
      <c r="A426" s="107"/>
      <c r="B426" s="107"/>
      <c r="C426" s="108"/>
      <c r="D426" s="107"/>
      <c r="E426" s="107"/>
      <c r="F426" s="107"/>
      <c r="G426" s="107"/>
      <c r="H426" s="107"/>
      <c r="I426" s="107"/>
      <c r="J426" s="107"/>
      <c r="K426" s="107"/>
      <c r="L426" s="107"/>
      <c r="M426" s="107"/>
      <c r="N426" s="107"/>
      <c r="O426" s="107"/>
      <c r="P426" s="107"/>
      <c r="Q426" s="107"/>
      <c r="R426" s="107"/>
      <c r="S426" s="107"/>
      <c r="T426" s="107"/>
      <c r="U426" s="107"/>
    </row>
    <row r="427" spans="1:21" x14ac:dyDescent="0.25">
      <c r="A427" s="107"/>
      <c r="B427" s="107"/>
      <c r="C427" s="108"/>
      <c r="D427" s="107"/>
      <c r="E427" s="107"/>
      <c r="F427" s="107"/>
      <c r="G427" s="107"/>
      <c r="H427" s="107"/>
      <c r="I427" s="107"/>
      <c r="J427" s="107"/>
      <c r="K427" s="107"/>
      <c r="L427" s="107"/>
      <c r="M427" s="107"/>
      <c r="N427" s="107"/>
      <c r="O427" s="107"/>
      <c r="P427" s="107"/>
      <c r="Q427" s="107"/>
      <c r="R427" s="107"/>
      <c r="S427" s="107"/>
      <c r="T427" s="107"/>
      <c r="U427" s="107"/>
    </row>
    <row r="428" spans="1:21" x14ac:dyDescent="0.25">
      <c r="A428" s="107"/>
      <c r="B428" s="107"/>
      <c r="C428" s="108"/>
      <c r="D428" s="107"/>
      <c r="E428" s="107"/>
      <c r="F428" s="107"/>
      <c r="G428" s="107"/>
      <c r="H428" s="107"/>
      <c r="I428" s="107"/>
      <c r="J428" s="107"/>
      <c r="K428" s="107"/>
      <c r="L428" s="107"/>
      <c r="M428" s="107"/>
      <c r="N428" s="107"/>
      <c r="O428" s="107"/>
      <c r="P428" s="107"/>
      <c r="Q428" s="107"/>
      <c r="R428" s="107"/>
      <c r="S428" s="107"/>
      <c r="T428" s="107"/>
      <c r="U428" s="107"/>
    </row>
    <row r="429" spans="1:21" x14ac:dyDescent="0.25">
      <c r="A429" s="107"/>
      <c r="B429" s="107"/>
      <c r="C429" s="108"/>
      <c r="D429" s="107"/>
      <c r="E429" s="107"/>
      <c r="F429" s="107"/>
      <c r="G429" s="107"/>
      <c r="H429" s="107"/>
      <c r="I429" s="107"/>
      <c r="J429" s="107"/>
      <c r="K429" s="107"/>
      <c r="L429" s="107"/>
      <c r="M429" s="107"/>
      <c r="N429" s="107"/>
      <c r="O429" s="107"/>
      <c r="P429" s="107"/>
      <c r="Q429" s="107"/>
      <c r="R429" s="107"/>
      <c r="S429" s="107"/>
      <c r="T429" s="107"/>
      <c r="U429" s="107"/>
    </row>
    <row r="430" spans="1:21" x14ac:dyDescent="0.25">
      <c r="A430" s="107"/>
      <c r="B430" s="107"/>
      <c r="C430" s="108"/>
      <c r="D430" s="107"/>
      <c r="E430" s="107"/>
      <c r="F430" s="107"/>
      <c r="G430" s="107"/>
      <c r="H430" s="107"/>
      <c r="I430" s="107"/>
      <c r="J430" s="107"/>
      <c r="K430" s="107"/>
      <c r="L430" s="107"/>
      <c r="M430" s="107"/>
      <c r="N430" s="107"/>
      <c r="O430" s="107"/>
      <c r="P430" s="107"/>
      <c r="Q430" s="107"/>
      <c r="R430" s="107"/>
      <c r="S430" s="107"/>
      <c r="T430" s="107"/>
      <c r="U430" s="107"/>
    </row>
    <row r="431" spans="1:21" x14ac:dyDescent="0.25">
      <c r="A431" s="107"/>
      <c r="B431" s="107"/>
      <c r="C431" s="108"/>
      <c r="D431" s="107"/>
      <c r="E431" s="107"/>
      <c r="F431" s="107"/>
      <c r="G431" s="107"/>
      <c r="H431" s="107"/>
      <c r="I431" s="107"/>
      <c r="J431" s="107"/>
      <c r="K431" s="107"/>
      <c r="L431" s="107"/>
      <c r="M431" s="107"/>
      <c r="N431" s="107"/>
      <c r="O431" s="107"/>
      <c r="P431" s="107"/>
      <c r="Q431" s="107"/>
      <c r="R431" s="107"/>
      <c r="S431" s="107"/>
      <c r="T431" s="107"/>
      <c r="U431" s="107"/>
    </row>
    <row r="432" spans="1:21" x14ac:dyDescent="0.25">
      <c r="A432" s="107"/>
      <c r="B432" s="107"/>
      <c r="C432" s="108"/>
      <c r="D432" s="107"/>
      <c r="E432" s="107"/>
      <c r="F432" s="107"/>
      <c r="G432" s="107"/>
      <c r="H432" s="107"/>
      <c r="I432" s="107"/>
      <c r="J432" s="107"/>
      <c r="K432" s="107"/>
      <c r="L432" s="107"/>
      <c r="M432" s="107"/>
      <c r="N432" s="107"/>
      <c r="O432" s="107"/>
      <c r="P432" s="107"/>
      <c r="Q432" s="107"/>
      <c r="R432" s="107"/>
      <c r="S432" s="107"/>
      <c r="T432" s="107"/>
      <c r="U432" s="107"/>
    </row>
    <row r="433" spans="1:21" x14ac:dyDescent="0.25">
      <c r="A433" s="107"/>
      <c r="B433" s="107"/>
      <c r="C433" s="108"/>
      <c r="D433" s="107"/>
      <c r="E433" s="107"/>
      <c r="F433" s="107"/>
      <c r="G433" s="107"/>
      <c r="H433" s="107"/>
      <c r="I433" s="107"/>
      <c r="J433" s="107"/>
      <c r="K433" s="107"/>
      <c r="L433" s="107"/>
      <c r="M433" s="107"/>
      <c r="N433" s="107"/>
      <c r="O433" s="107"/>
      <c r="P433" s="107"/>
      <c r="Q433" s="107"/>
      <c r="R433" s="107"/>
      <c r="S433" s="107"/>
      <c r="T433" s="107"/>
      <c r="U433" s="107"/>
    </row>
    <row r="434" spans="1:21" x14ac:dyDescent="0.25">
      <c r="A434" s="107"/>
      <c r="B434" s="107"/>
      <c r="C434" s="108"/>
      <c r="D434" s="107"/>
      <c r="E434" s="107"/>
      <c r="F434" s="107"/>
      <c r="G434" s="107"/>
      <c r="H434" s="107"/>
      <c r="I434" s="107"/>
      <c r="J434" s="107"/>
      <c r="K434" s="107"/>
      <c r="L434" s="107"/>
      <c r="M434" s="107"/>
      <c r="N434" s="107"/>
      <c r="O434" s="107"/>
      <c r="P434" s="107"/>
      <c r="Q434" s="107"/>
      <c r="R434" s="107"/>
      <c r="S434" s="107"/>
      <c r="T434" s="107"/>
      <c r="U434" s="107"/>
    </row>
    <row r="435" spans="1:21" x14ac:dyDescent="0.25">
      <c r="A435" s="107"/>
      <c r="B435" s="107"/>
      <c r="C435" s="108"/>
      <c r="D435" s="107"/>
      <c r="E435" s="107"/>
      <c r="F435" s="107"/>
      <c r="G435" s="107"/>
      <c r="H435" s="107"/>
      <c r="I435" s="107"/>
      <c r="J435" s="107"/>
      <c r="K435" s="107"/>
      <c r="L435" s="107"/>
      <c r="M435" s="107"/>
      <c r="N435" s="107"/>
      <c r="O435" s="107"/>
      <c r="P435" s="107"/>
      <c r="Q435" s="107"/>
      <c r="R435" s="107"/>
      <c r="S435" s="107"/>
      <c r="T435" s="107"/>
      <c r="U435" s="107"/>
    </row>
    <row r="436" spans="1:21" x14ac:dyDescent="0.25">
      <c r="A436" s="107"/>
      <c r="B436" s="107"/>
      <c r="C436" s="108"/>
      <c r="D436" s="107"/>
      <c r="E436" s="107"/>
      <c r="F436" s="107"/>
      <c r="G436" s="107"/>
      <c r="H436" s="107"/>
      <c r="I436" s="107"/>
      <c r="J436" s="107"/>
      <c r="K436" s="107"/>
      <c r="L436" s="107"/>
      <c r="M436" s="107"/>
      <c r="N436" s="107"/>
      <c r="O436" s="107"/>
      <c r="P436" s="107"/>
      <c r="Q436" s="107"/>
      <c r="R436" s="107"/>
      <c r="S436" s="107"/>
      <c r="T436" s="107"/>
      <c r="U436" s="107"/>
    </row>
    <row r="437" spans="1:21" x14ac:dyDescent="0.25">
      <c r="A437" s="107"/>
      <c r="B437" s="107"/>
      <c r="C437" s="108"/>
      <c r="D437" s="107"/>
      <c r="E437" s="107"/>
      <c r="F437" s="107"/>
      <c r="G437" s="107"/>
      <c r="H437" s="107"/>
      <c r="I437" s="107"/>
      <c r="J437" s="107"/>
      <c r="K437" s="107"/>
      <c r="L437" s="107"/>
      <c r="M437" s="107"/>
      <c r="N437" s="107"/>
      <c r="O437" s="107"/>
      <c r="P437" s="107"/>
      <c r="Q437" s="107"/>
      <c r="R437" s="107"/>
      <c r="S437" s="107"/>
      <c r="T437" s="107"/>
      <c r="U437" s="107"/>
    </row>
    <row r="438" spans="1:21" x14ac:dyDescent="0.25">
      <c r="A438" s="107"/>
      <c r="B438" s="107"/>
      <c r="C438" s="108"/>
      <c r="D438" s="107"/>
      <c r="E438" s="107"/>
      <c r="F438" s="107"/>
      <c r="G438" s="107"/>
      <c r="H438" s="107"/>
      <c r="I438" s="107"/>
      <c r="J438" s="107"/>
      <c r="K438" s="107"/>
      <c r="L438" s="107"/>
      <c r="M438" s="107"/>
      <c r="N438" s="107"/>
      <c r="O438" s="107"/>
      <c r="P438" s="107"/>
      <c r="Q438" s="107"/>
      <c r="R438" s="107"/>
      <c r="S438" s="107"/>
      <c r="T438" s="107"/>
      <c r="U438" s="107"/>
    </row>
    <row r="439" spans="1:21" x14ac:dyDescent="0.25">
      <c r="A439" s="107"/>
      <c r="B439" s="107"/>
      <c r="C439" s="108"/>
      <c r="D439" s="107"/>
      <c r="E439" s="107"/>
      <c r="F439" s="107"/>
      <c r="G439" s="107"/>
      <c r="H439" s="107"/>
      <c r="I439" s="107"/>
      <c r="J439" s="107"/>
      <c r="K439" s="107"/>
      <c r="L439" s="107"/>
      <c r="M439" s="107"/>
      <c r="N439" s="107"/>
      <c r="O439" s="107"/>
      <c r="P439" s="107"/>
      <c r="Q439" s="107"/>
      <c r="R439" s="107"/>
      <c r="S439" s="107"/>
      <c r="T439" s="107"/>
      <c r="U439" s="107"/>
    </row>
    <row r="440" spans="1:21" x14ac:dyDescent="0.25">
      <c r="A440" s="107"/>
      <c r="B440" s="107"/>
      <c r="C440" s="108"/>
      <c r="D440" s="107"/>
      <c r="E440" s="107"/>
      <c r="F440" s="107"/>
      <c r="G440" s="107"/>
      <c r="H440" s="107"/>
      <c r="I440" s="107"/>
      <c r="J440" s="107"/>
      <c r="K440" s="107"/>
      <c r="L440" s="107"/>
      <c r="M440" s="107"/>
      <c r="N440" s="107"/>
      <c r="O440" s="107"/>
      <c r="P440" s="107"/>
      <c r="Q440" s="107"/>
      <c r="R440" s="107"/>
      <c r="S440" s="107"/>
      <c r="T440" s="107"/>
      <c r="U440" s="107"/>
    </row>
    <row r="441" spans="1:21" x14ac:dyDescent="0.25">
      <c r="A441" s="107"/>
      <c r="B441" s="107"/>
      <c r="C441" s="107"/>
      <c r="D441" s="107"/>
      <c r="E441" s="107"/>
      <c r="F441" s="107"/>
      <c r="G441" s="107"/>
      <c r="H441" s="107"/>
      <c r="I441" s="107"/>
      <c r="J441" s="107"/>
      <c r="K441" s="107"/>
      <c r="L441" s="107"/>
      <c r="M441" s="107"/>
      <c r="N441" s="107"/>
      <c r="O441" s="107"/>
      <c r="P441" s="107"/>
      <c r="Q441" s="107"/>
      <c r="R441" s="107"/>
      <c r="S441" s="107"/>
      <c r="T441" s="107"/>
      <c r="U441" s="107"/>
    </row>
    <row r="442" spans="1:21" x14ac:dyDescent="0.25">
      <c r="A442" s="107"/>
      <c r="B442" s="107"/>
      <c r="C442" s="107"/>
      <c r="D442" s="107"/>
      <c r="E442" s="107"/>
      <c r="F442" s="107"/>
      <c r="G442" s="107"/>
      <c r="H442" s="107"/>
      <c r="I442" s="107"/>
      <c r="J442" s="107"/>
      <c r="K442" s="107"/>
      <c r="L442" s="107"/>
      <c r="M442" s="107"/>
      <c r="N442" s="107"/>
      <c r="O442" s="107"/>
      <c r="P442" s="107"/>
      <c r="Q442" s="107"/>
      <c r="R442" s="107"/>
      <c r="S442" s="107"/>
      <c r="T442" s="107"/>
      <c r="U442" s="107"/>
    </row>
    <row r="443" spans="1:21" x14ac:dyDescent="0.25">
      <c r="A443" s="107"/>
      <c r="B443" s="107"/>
      <c r="C443" s="107"/>
      <c r="D443" s="107"/>
      <c r="E443" s="107"/>
      <c r="F443" s="107"/>
      <c r="G443" s="107"/>
      <c r="H443" s="107"/>
      <c r="I443" s="107"/>
      <c r="J443" s="107"/>
      <c r="K443" s="107"/>
      <c r="L443" s="107"/>
      <c r="M443" s="107"/>
      <c r="N443" s="107"/>
      <c r="O443" s="107"/>
      <c r="P443" s="107"/>
      <c r="Q443" s="107"/>
      <c r="R443" s="107"/>
      <c r="S443" s="107"/>
      <c r="T443" s="107"/>
      <c r="U443" s="107"/>
    </row>
    <row r="444" spans="1:21" x14ac:dyDescent="0.25">
      <c r="A444" s="107"/>
      <c r="B444" s="107"/>
      <c r="C444" s="107"/>
      <c r="D444" s="107"/>
      <c r="E444" s="107"/>
      <c r="F444" s="107"/>
      <c r="G444" s="107"/>
      <c r="H444" s="107"/>
      <c r="I444" s="107"/>
      <c r="J444" s="107"/>
      <c r="K444" s="107"/>
      <c r="L444" s="107"/>
      <c r="M444" s="107"/>
      <c r="N444" s="107"/>
      <c r="O444" s="107"/>
      <c r="P444" s="107"/>
      <c r="Q444" s="107"/>
      <c r="R444" s="107"/>
      <c r="S444" s="107"/>
      <c r="T444" s="107"/>
      <c r="U444" s="107"/>
    </row>
    <row r="445" spans="1:21" x14ac:dyDescent="0.25">
      <c r="A445" s="107"/>
      <c r="B445" s="107"/>
      <c r="C445" s="107"/>
      <c r="D445" s="107"/>
      <c r="E445" s="107"/>
      <c r="F445" s="107"/>
      <c r="G445" s="107"/>
      <c r="H445" s="107"/>
      <c r="I445" s="107"/>
      <c r="J445" s="107"/>
      <c r="K445" s="107"/>
      <c r="L445" s="107"/>
      <c r="M445" s="107"/>
      <c r="N445" s="107"/>
      <c r="O445" s="107"/>
      <c r="P445" s="107"/>
      <c r="Q445" s="107"/>
      <c r="R445" s="107"/>
      <c r="S445" s="107"/>
      <c r="T445" s="107"/>
      <c r="U445" s="107"/>
    </row>
    <row r="446" spans="1:21" x14ac:dyDescent="0.25">
      <c r="A446" s="107"/>
      <c r="B446" s="107"/>
      <c r="C446" s="107"/>
      <c r="D446" s="107"/>
      <c r="E446" s="107"/>
      <c r="F446" s="107"/>
      <c r="G446" s="107"/>
      <c r="H446" s="107"/>
      <c r="I446" s="107"/>
      <c r="J446" s="107"/>
      <c r="K446" s="107"/>
      <c r="L446" s="107"/>
      <c r="M446" s="107"/>
      <c r="N446" s="107"/>
      <c r="O446" s="107"/>
      <c r="P446" s="107"/>
      <c r="Q446" s="107"/>
      <c r="R446" s="107"/>
      <c r="S446" s="107"/>
      <c r="T446" s="107"/>
      <c r="U446" s="107"/>
    </row>
    <row r="447" spans="1:21" x14ac:dyDescent="0.25">
      <c r="A447" s="107"/>
      <c r="B447" s="107"/>
      <c r="C447" s="107"/>
      <c r="D447" s="107"/>
      <c r="E447" s="107"/>
      <c r="F447" s="107"/>
      <c r="G447" s="107"/>
      <c r="H447" s="107"/>
      <c r="I447" s="107"/>
      <c r="J447" s="107"/>
      <c r="K447" s="107"/>
      <c r="L447" s="107"/>
      <c r="M447" s="107"/>
      <c r="N447" s="107"/>
      <c r="O447" s="107"/>
      <c r="P447" s="107"/>
      <c r="Q447" s="107"/>
      <c r="R447" s="107"/>
      <c r="S447" s="107"/>
      <c r="T447" s="107"/>
      <c r="U447" s="107"/>
    </row>
    <row r="448" spans="1:21" x14ac:dyDescent="0.25">
      <c r="A448" s="107"/>
      <c r="B448" s="107"/>
      <c r="C448" s="107"/>
      <c r="D448" s="107"/>
      <c r="E448" s="107"/>
      <c r="F448" s="107"/>
      <c r="G448" s="107"/>
      <c r="H448" s="107"/>
      <c r="I448" s="107"/>
      <c r="J448" s="107"/>
      <c r="K448" s="107"/>
      <c r="L448" s="107"/>
      <c r="M448" s="107"/>
      <c r="N448" s="107"/>
      <c r="O448" s="107"/>
      <c r="P448" s="107"/>
      <c r="Q448" s="107"/>
      <c r="R448" s="107"/>
      <c r="S448" s="107"/>
      <c r="T448" s="107"/>
      <c r="U448" s="107"/>
    </row>
    <row r="449" spans="1:21" x14ac:dyDescent="0.25">
      <c r="A449" s="107"/>
      <c r="B449" s="107"/>
      <c r="C449" s="107"/>
      <c r="D449" s="107"/>
      <c r="E449" s="107"/>
      <c r="F449" s="107"/>
      <c r="G449" s="107"/>
      <c r="H449" s="107"/>
      <c r="I449" s="107"/>
      <c r="J449" s="107"/>
      <c r="K449" s="107"/>
      <c r="L449" s="107"/>
      <c r="M449" s="107"/>
      <c r="N449" s="107"/>
      <c r="O449" s="107"/>
      <c r="P449" s="107"/>
      <c r="Q449" s="107"/>
      <c r="R449" s="107"/>
      <c r="S449" s="107"/>
      <c r="T449" s="107"/>
      <c r="U449" s="107"/>
    </row>
    <row r="450" spans="1:21" x14ac:dyDescent="0.25">
      <c r="A450" s="107"/>
      <c r="B450" s="107"/>
      <c r="C450" s="107"/>
      <c r="D450" s="107"/>
      <c r="E450" s="107"/>
      <c r="F450" s="107"/>
      <c r="G450" s="107"/>
      <c r="H450" s="107"/>
      <c r="I450" s="107"/>
      <c r="J450" s="107"/>
      <c r="K450" s="107"/>
      <c r="L450" s="107"/>
      <c r="M450" s="107"/>
      <c r="N450" s="107"/>
      <c r="O450" s="107"/>
      <c r="P450" s="107"/>
      <c r="Q450" s="107"/>
      <c r="R450" s="107"/>
      <c r="S450" s="107"/>
      <c r="T450" s="107"/>
      <c r="U450" s="107"/>
    </row>
    <row r="451" spans="1:21" x14ac:dyDescent="0.25">
      <c r="A451" s="107"/>
      <c r="B451" s="107"/>
      <c r="C451" s="107"/>
      <c r="D451" s="107"/>
      <c r="E451" s="107"/>
      <c r="F451" s="107"/>
      <c r="G451" s="107"/>
      <c r="H451" s="107"/>
      <c r="I451" s="107"/>
      <c r="J451" s="107"/>
      <c r="K451" s="107"/>
      <c r="L451" s="107"/>
      <c r="M451" s="107"/>
      <c r="N451" s="107"/>
      <c r="O451" s="107"/>
      <c r="P451" s="107"/>
      <c r="Q451" s="107"/>
      <c r="R451" s="107"/>
      <c r="S451" s="107"/>
      <c r="T451" s="107"/>
      <c r="U451" s="107"/>
    </row>
    <row r="452" spans="1:21" x14ac:dyDescent="0.25">
      <c r="A452" s="107"/>
      <c r="B452" s="107"/>
      <c r="C452" s="107"/>
      <c r="D452" s="107"/>
      <c r="E452" s="107"/>
      <c r="F452" s="107"/>
      <c r="G452" s="107"/>
      <c r="H452" s="107"/>
      <c r="I452" s="107"/>
      <c r="J452" s="107"/>
      <c r="K452" s="107"/>
      <c r="L452" s="107"/>
      <c r="M452" s="107"/>
      <c r="N452" s="107"/>
      <c r="O452" s="107"/>
      <c r="P452" s="107"/>
      <c r="Q452" s="107"/>
      <c r="R452" s="107"/>
      <c r="S452" s="107"/>
      <c r="T452" s="107"/>
      <c r="U452" s="107"/>
    </row>
    <row r="453" spans="1:21" x14ac:dyDescent="0.25">
      <c r="A453" s="107"/>
      <c r="B453" s="107"/>
      <c r="C453" s="107"/>
      <c r="D453" s="107"/>
      <c r="E453" s="107"/>
      <c r="F453" s="107"/>
      <c r="G453" s="107"/>
      <c r="H453" s="107"/>
      <c r="I453" s="107"/>
      <c r="J453" s="107"/>
      <c r="K453" s="107"/>
      <c r="L453" s="107"/>
      <c r="M453" s="107"/>
      <c r="N453" s="107"/>
      <c r="O453" s="107"/>
      <c r="P453" s="107"/>
      <c r="Q453" s="107"/>
      <c r="R453" s="107"/>
      <c r="S453" s="107"/>
      <c r="T453" s="107"/>
      <c r="U453" s="107"/>
    </row>
    <row r="454" spans="1:21" x14ac:dyDescent="0.25">
      <c r="A454" s="107"/>
      <c r="B454" s="107"/>
      <c r="C454" s="107"/>
      <c r="D454" s="107"/>
      <c r="E454" s="107"/>
      <c r="F454" s="107"/>
      <c r="G454" s="107"/>
      <c r="H454" s="107"/>
      <c r="I454" s="107"/>
      <c r="J454" s="107"/>
      <c r="K454" s="107"/>
      <c r="L454" s="107"/>
      <c r="M454" s="107"/>
      <c r="N454" s="107"/>
      <c r="O454" s="107"/>
      <c r="P454" s="107"/>
      <c r="Q454" s="107"/>
      <c r="R454" s="107"/>
      <c r="S454" s="107"/>
      <c r="T454" s="107"/>
      <c r="U454" s="107"/>
    </row>
    <row r="455" spans="1:21" x14ac:dyDescent="0.25">
      <c r="A455" s="107"/>
      <c r="B455" s="107"/>
      <c r="C455" s="107"/>
      <c r="D455" s="107"/>
      <c r="E455" s="107"/>
      <c r="F455" s="107"/>
      <c r="G455" s="107"/>
      <c r="H455" s="107"/>
      <c r="I455" s="107"/>
      <c r="J455" s="107"/>
      <c r="K455" s="107"/>
      <c r="L455" s="107"/>
      <c r="M455" s="107"/>
      <c r="N455" s="107"/>
      <c r="O455" s="107"/>
      <c r="P455" s="107"/>
      <c r="Q455" s="107"/>
      <c r="R455" s="107"/>
      <c r="S455" s="107"/>
      <c r="T455" s="107"/>
      <c r="U455" s="107"/>
    </row>
    <row r="456" spans="1:21" x14ac:dyDescent="0.25">
      <c r="A456" s="107"/>
      <c r="B456" s="107"/>
      <c r="C456" s="107"/>
      <c r="D456" s="107"/>
      <c r="E456" s="107"/>
      <c r="F456" s="107"/>
      <c r="G456" s="107"/>
      <c r="H456" s="107"/>
      <c r="I456" s="107"/>
      <c r="J456" s="107"/>
      <c r="K456" s="107"/>
      <c r="L456" s="107"/>
      <c r="M456" s="107"/>
      <c r="N456" s="107"/>
      <c r="O456" s="107"/>
      <c r="P456" s="107"/>
      <c r="Q456" s="107"/>
      <c r="R456" s="107"/>
      <c r="S456" s="107"/>
      <c r="T456" s="107"/>
      <c r="U456" s="107"/>
    </row>
    <row r="457" spans="1:21" x14ac:dyDescent="0.25">
      <c r="A457" s="107"/>
      <c r="B457" s="107"/>
      <c r="C457" s="107"/>
      <c r="D457" s="107"/>
      <c r="E457" s="107"/>
      <c r="F457" s="107"/>
      <c r="G457" s="107"/>
      <c r="H457" s="107"/>
      <c r="I457" s="107"/>
      <c r="J457" s="107"/>
      <c r="K457" s="107"/>
      <c r="L457" s="107"/>
      <c r="M457" s="107"/>
      <c r="N457" s="107"/>
      <c r="O457" s="107"/>
      <c r="P457" s="107"/>
      <c r="Q457" s="107"/>
      <c r="R457" s="107"/>
      <c r="S457" s="107"/>
      <c r="T457" s="107"/>
      <c r="U457" s="107"/>
    </row>
    <row r="458" spans="1:21" x14ac:dyDescent="0.25">
      <c r="A458" s="107"/>
      <c r="B458" s="107"/>
      <c r="C458" s="107"/>
      <c r="D458" s="107"/>
      <c r="E458" s="107"/>
      <c r="F458" s="107"/>
      <c r="G458" s="107"/>
      <c r="H458" s="107"/>
      <c r="I458" s="107"/>
      <c r="J458" s="107"/>
      <c r="K458" s="107"/>
      <c r="L458" s="107"/>
      <c r="M458" s="107"/>
      <c r="N458" s="107"/>
      <c r="O458" s="107"/>
      <c r="P458" s="107"/>
      <c r="Q458" s="107"/>
      <c r="R458" s="107"/>
      <c r="S458" s="107"/>
      <c r="T458" s="107"/>
      <c r="U458" s="107"/>
    </row>
    <row r="459" spans="1:21" x14ac:dyDescent="0.25">
      <c r="A459" s="107"/>
      <c r="B459" s="107"/>
      <c r="C459" s="107"/>
      <c r="D459" s="107"/>
      <c r="E459" s="107"/>
      <c r="F459" s="107"/>
      <c r="G459" s="107"/>
      <c r="H459" s="107"/>
      <c r="I459" s="107"/>
      <c r="J459" s="107"/>
      <c r="K459" s="107"/>
      <c r="L459" s="107"/>
      <c r="M459" s="107"/>
      <c r="N459" s="107"/>
      <c r="O459" s="107"/>
      <c r="P459" s="107"/>
      <c r="Q459" s="107"/>
      <c r="R459" s="107"/>
      <c r="S459" s="107"/>
      <c r="T459" s="107"/>
      <c r="U459" s="107"/>
    </row>
    <row r="460" spans="1:21" x14ac:dyDescent="0.25">
      <c r="A460" s="107"/>
      <c r="B460" s="107"/>
      <c r="C460" s="107"/>
      <c r="D460" s="107"/>
      <c r="E460" s="107"/>
      <c r="F460" s="107"/>
      <c r="G460" s="107"/>
      <c r="H460" s="107"/>
      <c r="I460" s="107"/>
      <c r="J460" s="107"/>
      <c r="K460" s="107"/>
      <c r="L460" s="107"/>
      <c r="M460" s="107"/>
      <c r="N460" s="107"/>
      <c r="O460" s="107"/>
      <c r="P460" s="107"/>
      <c r="Q460" s="107"/>
      <c r="R460" s="107"/>
      <c r="S460" s="107"/>
      <c r="T460" s="107"/>
      <c r="U460" s="107"/>
    </row>
    <row r="461" spans="1:21" x14ac:dyDescent="0.25">
      <c r="A461" s="107"/>
      <c r="B461" s="107"/>
      <c r="C461" s="107"/>
      <c r="D461" s="107"/>
      <c r="E461" s="107"/>
      <c r="F461" s="107"/>
      <c r="G461" s="107"/>
      <c r="H461" s="107"/>
      <c r="I461" s="107"/>
      <c r="J461" s="107"/>
      <c r="K461" s="107"/>
      <c r="L461" s="107"/>
      <c r="M461" s="107"/>
      <c r="N461" s="107"/>
      <c r="O461" s="107"/>
      <c r="P461" s="107"/>
      <c r="Q461" s="107"/>
      <c r="R461" s="107"/>
      <c r="S461" s="107"/>
      <c r="T461" s="107"/>
      <c r="U461" s="107"/>
    </row>
    <row r="462" spans="1:21" x14ac:dyDescent="0.25">
      <c r="A462" s="107"/>
      <c r="B462" s="107"/>
      <c r="C462" s="107"/>
      <c r="D462" s="107"/>
      <c r="E462" s="107"/>
      <c r="F462" s="107"/>
      <c r="G462" s="107"/>
      <c r="H462" s="107"/>
      <c r="I462" s="107"/>
      <c r="J462" s="107"/>
      <c r="K462" s="107"/>
      <c r="L462" s="107"/>
      <c r="M462" s="107"/>
      <c r="N462" s="107"/>
      <c r="O462" s="107"/>
      <c r="P462" s="107"/>
      <c r="Q462" s="107"/>
      <c r="R462" s="107"/>
      <c r="S462" s="107"/>
      <c r="T462" s="107"/>
      <c r="U462" s="107"/>
    </row>
    <row r="463" spans="1:21" x14ac:dyDescent="0.25">
      <c r="A463" s="107"/>
      <c r="B463" s="107"/>
      <c r="C463" s="107"/>
      <c r="D463" s="107"/>
      <c r="E463" s="107"/>
      <c r="F463" s="107"/>
      <c r="G463" s="107"/>
      <c r="H463" s="107"/>
      <c r="I463" s="107"/>
      <c r="J463" s="107"/>
      <c r="K463" s="107"/>
      <c r="L463" s="107"/>
      <c r="M463" s="107"/>
      <c r="N463" s="107"/>
      <c r="O463" s="107"/>
      <c r="P463" s="107"/>
      <c r="Q463" s="107"/>
      <c r="R463" s="107"/>
      <c r="S463" s="107"/>
      <c r="T463" s="107"/>
      <c r="U463" s="107"/>
    </row>
    <row r="464" spans="1:21" x14ac:dyDescent="0.25">
      <c r="A464" s="107"/>
      <c r="B464" s="107"/>
      <c r="C464" s="107"/>
      <c r="D464" s="107"/>
      <c r="E464" s="107"/>
      <c r="F464" s="107"/>
      <c r="G464" s="107"/>
      <c r="H464" s="107"/>
      <c r="I464" s="107"/>
      <c r="J464" s="107"/>
      <c r="K464" s="107"/>
      <c r="L464" s="107"/>
      <c r="M464" s="107"/>
      <c r="N464" s="107"/>
      <c r="O464" s="107"/>
      <c r="P464" s="107"/>
      <c r="Q464" s="107"/>
      <c r="R464" s="107"/>
      <c r="S464" s="107"/>
      <c r="T464" s="107"/>
      <c r="U464" s="107"/>
    </row>
    <row r="465" spans="1:21" x14ac:dyDescent="0.25">
      <c r="A465" s="107"/>
      <c r="B465" s="107"/>
      <c r="C465" s="107"/>
      <c r="D465" s="107"/>
      <c r="E465" s="107"/>
      <c r="F465" s="107"/>
      <c r="G465" s="107"/>
      <c r="H465" s="107"/>
      <c r="I465" s="107"/>
      <c r="J465" s="107"/>
      <c r="K465" s="107"/>
      <c r="L465" s="107"/>
      <c r="M465" s="107"/>
      <c r="N465" s="107"/>
      <c r="O465" s="107"/>
      <c r="P465" s="107"/>
      <c r="Q465" s="107"/>
      <c r="R465" s="107"/>
      <c r="S465" s="107"/>
      <c r="T465" s="107"/>
      <c r="U465" s="107"/>
    </row>
    <row r="466" spans="1:21" x14ac:dyDescent="0.25">
      <c r="A466" s="107"/>
      <c r="B466" s="107"/>
      <c r="C466" s="107"/>
      <c r="D466" s="107"/>
      <c r="E466" s="107"/>
      <c r="F466" s="107"/>
      <c r="G466" s="107"/>
      <c r="H466" s="107"/>
      <c r="I466" s="107"/>
      <c r="J466" s="107"/>
      <c r="K466" s="107"/>
      <c r="L466" s="107"/>
      <c r="M466" s="107"/>
      <c r="N466" s="107"/>
      <c r="O466" s="107"/>
      <c r="P466" s="107"/>
      <c r="Q466" s="107"/>
      <c r="R466" s="107"/>
      <c r="S466" s="107"/>
      <c r="T466" s="107"/>
      <c r="U466" s="107"/>
    </row>
    <row r="467" spans="1:21" x14ac:dyDescent="0.25">
      <c r="A467" s="107"/>
      <c r="B467" s="107"/>
      <c r="C467" s="107"/>
      <c r="D467" s="107"/>
      <c r="E467" s="107"/>
      <c r="F467" s="107"/>
      <c r="G467" s="107"/>
      <c r="H467" s="107"/>
      <c r="I467" s="107"/>
      <c r="J467" s="107"/>
      <c r="K467" s="107"/>
      <c r="L467" s="107"/>
      <c r="M467" s="107"/>
      <c r="N467" s="107"/>
      <c r="O467" s="107"/>
      <c r="P467" s="107"/>
      <c r="Q467" s="107"/>
      <c r="R467" s="107"/>
      <c r="S467" s="107"/>
      <c r="T467" s="107"/>
      <c r="U467" s="107"/>
    </row>
    <row r="468" spans="1:21" x14ac:dyDescent="0.25">
      <c r="A468" s="107"/>
      <c r="B468" s="107"/>
      <c r="C468" s="107"/>
      <c r="D468" s="107"/>
      <c r="E468" s="107"/>
      <c r="F468" s="107"/>
      <c r="G468" s="107"/>
      <c r="H468" s="107"/>
      <c r="I468" s="107"/>
      <c r="J468" s="107"/>
      <c r="K468" s="107"/>
      <c r="L468" s="107"/>
      <c r="M468" s="107"/>
      <c r="N468" s="107"/>
      <c r="O468" s="107"/>
      <c r="P468" s="107"/>
      <c r="Q468" s="107"/>
      <c r="R468" s="107"/>
      <c r="S468" s="107"/>
      <c r="T468" s="107"/>
      <c r="U468" s="107"/>
    </row>
    <row r="469" spans="1:21" x14ac:dyDescent="0.25">
      <c r="A469" s="107"/>
      <c r="B469" s="107"/>
      <c r="C469" s="107"/>
      <c r="D469" s="107"/>
      <c r="E469" s="107"/>
      <c r="F469" s="107"/>
      <c r="G469" s="107"/>
      <c r="H469" s="107"/>
      <c r="I469" s="107"/>
      <c r="J469" s="107"/>
      <c r="K469" s="107"/>
      <c r="L469" s="107"/>
      <c r="M469" s="107"/>
      <c r="N469" s="107"/>
      <c r="O469" s="107"/>
      <c r="P469" s="107"/>
      <c r="Q469" s="107"/>
      <c r="R469" s="107"/>
      <c r="S469" s="107"/>
      <c r="T469" s="107"/>
      <c r="U469" s="107"/>
    </row>
    <row r="470" spans="1:21" x14ac:dyDescent="0.25">
      <c r="A470" s="107"/>
      <c r="B470" s="107"/>
      <c r="C470" s="107"/>
      <c r="D470" s="107"/>
      <c r="E470" s="107"/>
      <c r="F470" s="107"/>
      <c r="G470" s="107"/>
      <c r="H470" s="107"/>
      <c r="I470" s="107"/>
      <c r="J470" s="107"/>
      <c r="K470" s="107"/>
      <c r="L470" s="107"/>
      <c r="M470" s="107"/>
      <c r="N470" s="107"/>
      <c r="O470" s="107"/>
      <c r="P470" s="107"/>
      <c r="Q470" s="107"/>
      <c r="R470" s="107"/>
      <c r="S470" s="107"/>
      <c r="T470" s="107"/>
      <c r="U470" s="107"/>
    </row>
    <row r="471" spans="1:21" x14ac:dyDescent="0.25">
      <c r="A471" s="107"/>
      <c r="B471" s="107"/>
      <c r="C471" s="107"/>
      <c r="D471" s="107"/>
      <c r="E471" s="107"/>
      <c r="F471" s="107"/>
      <c r="G471" s="107"/>
      <c r="H471" s="107"/>
      <c r="I471" s="107"/>
      <c r="J471" s="107"/>
      <c r="K471" s="107"/>
      <c r="L471" s="107"/>
      <c r="M471" s="107"/>
      <c r="N471" s="107"/>
      <c r="O471" s="107"/>
      <c r="P471" s="107"/>
      <c r="Q471" s="107"/>
      <c r="R471" s="107"/>
      <c r="S471" s="107"/>
      <c r="T471" s="107"/>
      <c r="U471" s="107"/>
    </row>
    <row r="472" spans="1:21" x14ac:dyDescent="0.25">
      <c r="A472" s="107"/>
      <c r="B472" s="107"/>
      <c r="C472" s="107"/>
      <c r="D472" s="107"/>
      <c r="E472" s="107"/>
      <c r="F472" s="107"/>
      <c r="G472" s="107"/>
      <c r="H472" s="107"/>
      <c r="I472" s="107"/>
      <c r="J472" s="107"/>
      <c r="K472" s="107"/>
      <c r="L472" s="107"/>
      <c r="M472" s="107"/>
      <c r="N472" s="107"/>
      <c r="O472" s="107"/>
      <c r="P472" s="107"/>
      <c r="Q472" s="107"/>
      <c r="R472" s="107"/>
      <c r="S472" s="107"/>
      <c r="T472" s="107"/>
      <c r="U472" s="107"/>
    </row>
    <row r="473" spans="1:21" x14ac:dyDescent="0.25">
      <c r="A473" s="107"/>
      <c r="B473" s="107"/>
      <c r="C473" s="107"/>
      <c r="D473" s="107"/>
      <c r="E473" s="107"/>
      <c r="F473" s="107"/>
      <c r="G473" s="107"/>
      <c r="H473" s="107"/>
      <c r="I473" s="107"/>
      <c r="J473" s="107"/>
      <c r="K473" s="107"/>
      <c r="L473" s="107"/>
      <c r="M473" s="107"/>
      <c r="N473" s="107"/>
      <c r="O473" s="107"/>
      <c r="P473" s="107"/>
      <c r="Q473" s="107"/>
      <c r="R473" s="107"/>
      <c r="S473" s="107"/>
      <c r="T473" s="107"/>
      <c r="U473" s="107"/>
    </row>
    <row r="474" spans="1:21" x14ac:dyDescent="0.25">
      <c r="A474" s="107"/>
      <c r="B474" s="107"/>
      <c r="C474" s="107"/>
      <c r="D474" s="107"/>
      <c r="E474" s="107"/>
      <c r="F474" s="107"/>
      <c r="G474" s="107"/>
      <c r="H474" s="107"/>
      <c r="I474" s="107"/>
      <c r="J474" s="107"/>
      <c r="K474" s="107"/>
      <c r="L474" s="107"/>
      <c r="M474" s="107"/>
      <c r="N474" s="107"/>
      <c r="O474" s="107"/>
      <c r="P474" s="107"/>
      <c r="Q474" s="107"/>
      <c r="R474" s="107"/>
      <c r="S474" s="107"/>
      <c r="T474" s="107"/>
      <c r="U474" s="107"/>
    </row>
    <row r="475" spans="1:21" x14ac:dyDescent="0.25">
      <c r="A475" s="107"/>
      <c r="B475" s="107"/>
      <c r="C475" s="107"/>
      <c r="D475" s="107"/>
      <c r="E475" s="107"/>
      <c r="F475" s="107"/>
      <c r="G475" s="107"/>
      <c r="H475" s="107"/>
      <c r="I475" s="107"/>
      <c r="J475" s="107"/>
      <c r="K475" s="107"/>
      <c r="L475" s="107"/>
      <c r="M475" s="107"/>
      <c r="N475" s="107"/>
      <c r="O475" s="107"/>
      <c r="P475" s="107"/>
      <c r="Q475" s="107"/>
      <c r="R475" s="107"/>
      <c r="S475" s="107"/>
      <c r="T475" s="107"/>
      <c r="U475" s="107"/>
    </row>
    <row r="476" spans="1:21" x14ac:dyDescent="0.25">
      <c r="A476" s="107"/>
      <c r="B476" s="107"/>
      <c r="C476" s="107"/>
      <c r="D476" s="107"/>
      <c r="E476" s="107"/>
      <c r="F476" s="107"/>
      <c r="G476" s="107"/>
      <c r="H476" s="107"/>
      <c r="I476" s="107"/>
      <c r="J476" s="107"/>
      <c r="K476" s="107"/>
      <c r="L476" s="107"/>
      <c r="M476" s="107"/>
      <c r="N476" s="107"/>
      <c r="O476" s="107"/>
      <c r="P476" s="107"/>
      <c r="Q476" s="107"/>
      <c r="R476" s="107"/>
      <c r="S476" s="107"/>
      <c r="T476" s="107"/>
      <c r="U476" s="107"/>
    </row>
    <row r="477" spans="1:21" x14ac:dyDescent="0.25">
      <c r="A477" s="107"/>
      <c r="B477" s="107"/>
      <c r="C477" s="107"/>
      <c r="D477" s="107"/>
      <c r="E477" s="107"/>
      <c r="F477" s="107"/>
      <c r="G477" s="107"/>
      <c r="H477" s="107"/>
      <c r="I477" s="107"/>
      <c r="J477" s="107"/>
      <c r="K477" s="107"/>
      <c r="L477" s="107"/>
      <c r="M477" s="107"/>
      <c r="N477" s="107"/>
      <c r="O477" s="107"/>
      <c r="P477" s="107"/>
      <c r="Q477" s="107"/>
      <c r="R477" s="107"/>
      <c r="S477" s="107"/>
      <c r="T477" s="107"/>
      <c r="U477" s="107"/>
    </row>
    <row r="478" spans="1:21" x14ac:dyDescent="0.25">
      <c r="A478" s="107"/>
      <c r="B478" s="107"/>
      <c r="C478" s="107"/>
      <c r="D478" s="107"/>
      <c r="E478" s="107"/>
      <c r="F478" s="107"/>
      <c r="G478" s="107"/>
      <c r="H478" s="107"/>
      <c r="I478" s="107"/>
      <c r="J478" s="107"/>
      <c r="K478" s="107"/>
      <c r="L478" s="107"/>
      <c r="M478" s="107"/>
      <c r="N478" s="107"/>
      <c r="O478" s="107"/>
      <c r="P478" s="107"/>
      <c r="Q478" s="107"/>
      <c r="R478" s="107"/>
      <c r="S478" s="107"/>
      <c r="T478" s="107"/>
      <c r="U478" s="107"/>
    </row>
    <row r="479" spans="1:21" x14ac:dyDescent="0.25">
      <c r="A479" s="107"/>
      <c r="B479" s="107"/>
      <c r="C479" s="107"/>
      <c r="D479" s="107"/>
      <c r="E479" s="107"/>
      <c r="F479" s="107"/>
      <c r="G479" s="107"/>
      <c r="H479" s="107"/>
      <c r="I479" s="107"/>
      <c r="J479" s="107"/>
      <c r="K479" s="107"/>
      <c r="L479" s="107"/>
      <c r="M479" s="107"/>
      <c r="N479" s="107"/>
      <c r="O479" s="107"/>
      <c r="P479" s="107"/>
      <c r="Q479" s="107"/>
      <c r="R479" s="107"/>
      <c r="S479" s="107"/>
      <c r="T479" s="107"/>
      <c r="U479" s="107"/>
    </row>
    <row r="480" spans="1:21" x14ac:dyDescent="0.25">
      <c r="A480" s="107"/>
      <c r="B480" s="107"/>
      <c r="C480" s="107"/>
      <c r="D480" s="107"/>
      <c r="E480" s="107"/>
      <c r="F480" s="107"/>
      <c r="G480" s="107"/>
      <c r="H480" s="107"/>
      <c r="I480" s="107"/>
      <c r="J480" s="107"/>
      <c r="K480" s="107"/>
      <c r="L480" s="107"/>
      <c r="M480" s="107"/>
      <c r="N480" s="107"/>
      <c r="O480" s="107"/>
      <c r="P480" s="107"/>
      <c r="Q480" s="107"/>
      <c r="R480" s="107"/>
      <c r="S480" s="107"/>
      <c r="T480" s="107"/>
      <c r="U480" s="107"/>
    </row>
    <row r="481" spans="1:21" x14ac:dyDescent="0.25">
      <c r="A481" s="107"/>
      <c r="B481" s="107"/>
      <c r="C481" s="107"/>
      <c r="D481" s="107"/>
      <c r="E481" s="107"/>
      <c r="F481" s="107"/>
      <c r="G481" s="107"/>
      <c r="H481" s="107"/>
      <c r="I481" s="107"/>
      <c r="J481" s="107"/>
      <c r="K481" s="107"/>
      <c r="L481" s="107"/>
      <c r="M481" s="107"/>
      <c r="N481" s="107"/>
      <c r="O481" s="107"/>
      <c r="P481" s="107"/>
      <c r="Q481" s="107"/>
      <c r="R481" s="107"/>
      <c r="S481" s="107"/>
      <c r="T481" s="107"/>
      <c r="U481" s="107"/>
    </row>
    <row r="482" spans="1:21" x14ac:dyDescent="0.25">
      <c r="A482" s="107"/>
      <c r="B482" s="107"/>
      <c r="C482" s="107"/>
      <c r="D482" s="107"/>
      <c r="E482" s="107"/>
      <c r="F482" s="107"/>
      <c r="G482" s="107"/>
      <c r="H482" s="107"/>
      <c r="I482" s="107"/>
      <c r="J482" s="107"/>
      <c r="K482" s="107"/>
      <c r="L482" s="107"/>
      <c r="M482" s="107"/>
      <c r="N482" s="107"/>
      <c r="O482" s="107"/>
      <c r="P482" s="107"/>
      <c r="Q482" s="107"/>
      <c r="R482" s="107"/>
      <c r="S482" s="107"/>
      <c r="T482" s="107"/>
      <c r="U482" s="107"/>
    </row>
    <row r="483" spans="1:21" x14ac:dyDescent="0.25">
      <c r="A483" s="107"/>
      <c r="B483" s="107"/>
      <c r="C483" s="107"/>
      <c r="D483" s="107"/>
      <c r="E483" s="107"/>
      <c r="F483" s="107"/>
      <c r="G483" s="107"/>
      <c r="H483" s="107"/>
      <c r="I483" s="107"/>
      <c r="J483" s="107"/>
      <c r="K483" s="107"/>
      <c r="L483" s="107"/>
      <c r="M483" s="107"/>
      <c r="N483" s="107"/>
      <c r="O483" s="107"/>
      <c r="P483" s="107"/>
      <c r="Q483" s="107"/>
      <c r="R483" s="107"/>
      <c r="S483" s="107"/>
      <c r="T483" s="107"/>
      <c r="U483" s="107"/>
    </row>
    <row r="484" spans="1:21" x14ac:dyDescent="0.25">
      <c r="A484" s="107"/>
      <c r="B484" s="107"/>
      <c r="C484" s="107"/>
      <c r="D484" s="107"/>
      <c r="E484" s="107"/>
      <c r="F484" s="107"/>
      <c r="G484" s="107"/>
      <c r="H484" s="107"/>
      <c r="I484" s="107"/>
      <c r="J484" s="107"/>
      <c r="K484" s="107"/>
      <c r="L484" s="107"/>
      <c r="M484" s="107"/>
      <c r="N484" s="107"/>
      <c r="O484" s="107"/>
      <c r="P484" s="107"/>
      <c r="Q484" s="107"/>
      <c r="R484" s="107"/>
      <c r="S484" s="107"/>
      <c r="T484" s="107"/>
      <c r="U484" s="107"/>
    </row>
    <row r="485" spans="1:21" x14ac:dyDescent="0.25">
      <c r="A485" s="107"/>
      <c r="B485" s="107"/>
      <c r="C485" s="107"/>
      <c r="D485" s="107"/>
      <c r="E485" s="107"/>
      <c r="F485" s="107"/>
      <c r="G485" s="107"/>
      <c r="H485" s="107"/>
      <c r="I485" s="107"/>
      <c r="J485" s="107"/>
      <c r="K485" s="107"/>
      <c r="L485" s="107"/>
      <c r="M485" s="107"/>
      <c r="N485" s="107"/>
      <c r="O485" s="107"/>
      <c r="P485" s="107"/>
      <c r="Q485" s="107"/>
      <c r="R485" s="107"/>
      <c r="S485" s="107"/>
      <c r="T485" s="107"/>
      <c r="U485" s="107"/>
    </row>
    <row r="486" spans="1:21" x14ac:dyDescent="0.25">
      <c r="A486" s="107"/>
      <c r="B486" s="107"/>
      <c r="C486" s="107"/>
      <c r="D486" s="107"/>
      <c r="E486" s="107"/>
      <c r="F486" s="107"/>
      <c r="G486" s="107"/>
      <c r="H486" s="107"/>
      <c r="I486" s="107"/>
      <c r="J486" s="107"/>
      <c r="K486" s="107"/>
      <c r="L486" s="107"/>
      <c r="M486" s="107"/>
      <c r="N486" s="107"/>
      <c r="O486" s="107"/>
      <c r="P486" s="107"/>
      <c r="Q486" s="107"/>
      <c r="R486" s="107"/>
      <c r="S486" s="107"/>
      <c r="T486" s="107"/>
      <c r="U486" s="107"/>
    </row>
    <row r="487" spans="1:21" x14ac:dyDescent="0.25">
      <c r="A487" s="107"/>
      <c r="B487" s="107"/>
      <c r="C487" s="107"/>
      <c r="D487" s="107"/>
      <c r="E487" s="107"/>
      <c r="F487" s="107"/>
      <c r="G487" s="107"/>
      <c r="H487" s="107"/>
      <c r="I487" s="107"/>
      <c r="J487" s="107"/>
      <c r="K487" s="107"/>
      <c r="L487" s="107"/>
      <c r="M487" s="107"/>
      <c r="N487" s="107"/>
      <c r="O487" s="107"/>
      <c r="P487" s="107"/>
      <c r="Q487" s="107"/>
      <c r="R487" s="107"/>
      <c r="S487" s="107"/>
      <c r="T487" s="107"/>
      <c r="U487" s="107"/>
    </row>
    <row r="488" spans="1:21" x14ac:dyDescent="0.25">
      <c r="A488" s="107"/>
      <c r="B488" s="107"/>
      <c r="C488" s="107"/>
      <c r="D488" s="107"/>
      <c r="E488" s="107"/>
      <c r="F488" s="107"/>
      <c r="G488" s="107"/>
      <c r="H488" s="107"/>
      <c r="I488" s="107"/>
      <c r="J488" s="107"/>
      <c r="K488" s="107"/>
      <c r="L488" s="107"/>
      <c r="M488" s="107"/>
      <c r="N488" s="107"/>
      <c r="O488" s="107"/>
      <c r="P488" s="107"/>
      <c r="Q488" s="107"/>
      <c r="R488" s="107"/>
      <c r="S488" s="107"/>
      <c r="T488" s="107"/>
      <c r="U488" s="107"/>
    </row>
    <row r="489" spans="1:21" x14ac:dyDescent="0.25">
      <c r="A489" s="107"/>
      <c r="B489" s="107"/>
      <c r="C489" s="107"/>
      <c r="D489" s="107"/>
      <c r="E489" s="107"/>
      <c r="F489" s="107"/>
      <c r="G489" s="107"/>
      <c r="H489" s="107"/>
      <c r="I489" s="107"/>
      <c r="J489" s="107"/>
      <c r="K489" s="107"/>
      <c r="L489" s="107"/>
      <c r="M489" s="107"/>
      <c r="N489" s="107"/>
      <c r="O489" s="107"/>
      <c r="P489" s="107"/>
      <c r="Q489" s="107"/>
      <c r="R489" s="107"/>
      <c r="S489" s="107"/>
      <c r="T489" s="107"/>
      <c r="U489" s="107"/>
    </row>
    <row r="490" spans="1:21" x14ac:dyDescent="0.25">
      <c r="A490" s="107"/>
      <c r="B490" s="107"/>
      <c r="C490" s="107"/>
      <c r="D490" s="107"/>
      <c r="E490" s="107"/>
      <c r="F490" s="107"/>
      <c r="G490" s="107"/>
      <c r="H490" s="107"/>
      <c r="I490" s="107"/>
      <c r="J490" s="107"/>
      <c r="K490" s="107"/>
      <c r="L490" s="107"/>
      <c r="M490" s="107"/>
      <c r="N490" s="107"/>
      <c r="O490" s="107"/>
      <c r="P490" s="107"/>
      <c r="Q490" s="107"/>
      <c r="R490" s="107"/>
      <c r="S490" s="107"/>
      <c r="T490" s="107"/>
      <c r="U490" s="107"/>
    </row>
    <row r="491" spans="1:21" x14ac:dyDescent="0.25">
      <c r="A491" s="107"/>
      <c r="B491" s="107"/>
      <c r="C491" s="107"/>
      <c r="D491" s="107"/>
      <c r="E491" s="107"/>
      <c r="F491" s="107"/>
      <c r="G491" s="107"/>
      <c r="H491" s="107"/>
      <c r="I491" s="107"/>
      <c r="J491" s="107"/>
      <c r="K491" s="107"/>
      <c r="L491" s="107"/>
      <c r="M491" s="107"/>
      <c r="N491" s="107"/>
      <c r="O491" s="107"/>
      <c r="P491" s="107"/>
      <c r="Q491" s="107"/>
      <c r="R491" s="107"/>
      <c r="S491" s="107"/>
      <c r="T491" s="107"/>
      <c r="U491" s="107"/>
    </row>
    <row r="492" spans="1:21" x14ac:dyDescent="0.25">
      <c r="A492" s="107"/>
      <c r="B492" s="107"/>
      <c r="C492" s="107"/>
      <c r="D492" s="107"/>
      <c r="E492" s="107"/>
      <c r="F492" s="107"/>
      <c r="G492" s="107"/>
      <c r="H492" s="107"/>
      <c r="I492" s="107"/>
      <c r="J492" s="107"/>
      <c r="K492" s="107"/>
      <c r="L492" s="107"/>
      <c r="M492" s="107"/>
      <c r="N492" s="107"/>
      <c r="O492" s="107"/>
      <c r="P492" s="107"/>
      <c r="Q492" s="107"/>
      <c r="R492" s="107"/>
      <c r="S492" s="107"/>
      <c r="T492" s="107"/>
      <c r="U492" s="107"/>
    </row>
    <row r="493" spans="1:21" x14ac:dyDescent="0.25">
      <c r="A493" s="107"/>
      <c r="B493" s="107"/>
      <c r="C493" s="107"/>
      <c r="D493" s="107"/>
      <c r="E493" s="107"/>
      <c r="F493" s="107"/>
      <c r="G493" s="107"/>
      <c r="H493" s="107"/>
      <c r="I493" s="107"/>
      <c r="J493" s="107"/>
      <c r="K493" s="107"/>
      <c r="L493" s="107"/>
      <c r="M493" s="107"/>
      <c r="N493" s="107"/>
      <c r="O493" s="107"/>
      <c r="P493" s="107"/>
      <c r="Q493" s="107"/>
      <c r="R493" s="107"/>
      <c r="S493" s="107"/>
      <c r="T493" s="107"/>
      <c r="U493" s="107"/>
    </row>
    <row r="494" spans="1:21" x14ac:dyDescent="0.25">
      <c r="A494" s="107"/>
      <c r="B494" s="107"/>
      <c r="C494" s="107"/>
      <c r="D494" s="107"/>
      <c r="E494" s="107"/>
      <c r="F494" s="107"/>
      <c r="G494" s="107"/>
      <c r="H494" s="107"/>
      <c r="I494" s="107"/>
      <c r="J494" s="107"/>
      <c r="K494" s="107"/>
      <c r="L494" s="107"/>
      <c r="M494" s="107"/>
      <c r="N494" s="107"/>
      <c r="O494" s="107"/>
      <c r="P494" s="107"/>
      <c r="Q494" s="107"/>
      <c r="R494" s="107"/>
      <c r="S494" s="107"/>
      <c r="T494" s="107"/>
      <c r="U494" s="107"/>
    </row>
    <row r="495" spans="1:21" x14ac:dyDescent="0.25">
      <c r="A495" s="107"/>
      <c r="B495" s="107"/>
      <c r="C495" s="107"/>
      <c r="D495" s="107"/>
      <c r="E495" s="107"/>
      <c r="F495" s="107"/>
      <c r="G495" s="107"/>
      <c r="H495" s="107"/>
      <c r="I495" s="107"/>
      <c r="J495" s="107"/>
      <c r="K495" s="107"/>
      <c r="L495" s="107"/>
      <c r="M495" s="107"/>
      <c r="N495" s="107"/>
      <c r="O495" s="107"/>
      <c r="P495" s="107"/>
      <c r="Q495" s="107"/>
      <c r="R495" s="107"/>
      <c r="S495" s="107"/>
      <c r="T495" s="107"/>
      <c r="U495" s="107"/>
    </row>
    <row r="496" spans="1:21" x14ac:dyDescent="0.25">
      <c r="A496" s="107"/>
      <c r="B496" s="107"/>
      <c r="C496" s="107"/>
      <c r="D496" s="107"/>
      <c r="E496" s="107"/>
      <c r="F496" s="107"/>
      <c r="G496" s="107"/>
      <c r="H496" s="107"/>
      <c r="I496" s="107"/>
      <c r="J496" s="107"/>
      <c r="K496" s="107"/>
      <c r="L496" s="107"/>
      <c r="M496" s="107"/>
      <c r="N496" s="107"/>
      <c r="O496" s="107"/>
      <c r="P496" s="107"/>
      <c r="Q496" s="107"/>
      <c r="R496" s="107"/>
      <c r="S496" s="107"/>
      <c r="T496" s="107"/>
      <c r="U496" s="107"/>
    </row>
    <row r="497" spans="1:21" x14ac:dyDescent="0.25">
      <c r="A497" s="107"/>
      <c r="B497" s="107"/>
      <c r="C497" s="107"/>
      <c r="D497" s="107"/>
      <c r="E497" s="107"/>
      <c r="F497" s="107"/>
      <c r="G497" s="107"/>
      <c r="H497" s="107"/>
      <c r="I497" s="107"/>
      <c r="J497" s="107"/>
      <c r="K497" s="107"/>
      <c r="L497" s="107"/>
      <c r="M497" s="107"/>
      <c r="N497" s="107"/>
      <c r="O497" s="107"/>
      <c r="P497" s="107"/>
      <c r="Q497" s="107"/>
      <c r="R497" s="107"/>
      <c r="S497" s="107"/>
      <c r="T497" s="107"/>
      <c r="U497" s="107"/>
    </row>
    <row r="498" spans="1:21" x14ac:dyDescent="0.25">
      <c r="A498" s="107"/>
      <c r="B498" s="107"/>
      <c r="C498" s="107"/>
      <c r="D498" s="107"/>
      <c r="E498" s="107"/>
      <c r="F498" s="107"/>
      <c r="G498" s="107"/>
      <c r="H498" s="107"/>
      <c r="I498" s="107"/>
      <c r="J498" s="107"/>
      <c r="K498" s="107"/>
      <c r="L498" s="107"/>
      <c r="M498" s="107"/>
      <c r="N498" s="107"/>
      <c r="O498" s="107"/>
      <c r="P498" s="107"/>
      <c r="Q498" s="107"/>
      <c r="R498" s="107"/>
      <c r="S498" s="107"/>
      <c r="T498" s="107"/>
      <c r="U498" s="107"/>
    </row>
    <row r="499" spans="1:21" x14ac:dyDescent="0.25">
      <c r="A499" s="107"/>
      <c r="B499" s="107"/>
      <c r="C499" s="107"/>
      <c r="D499" s="107"/>
      <c r="E499" s="107"/>
      <c r="F499" s="107"/>
      <c r="G499" s="107"/>
      <c r="H499" s="107"/>
      <c r="I499" s="107"/>
      <c r="J499" s="107"/>
      <c r="K499" s="107"/>
      <c r="L499" s="107"/>
      <c r="M499" s="107"/>
      <c r="N499" s="107"/>
      <c r="O499" s="107"/>
      <c r="P499" s="107"/>
      <c r="Q499" s="107"/>
      <c r="R499" s="107"/>
      <c r="S499" s="107"/>
      <c r="T499" s="107"/>
      <c r="U499" s="107"/>
    </row>
    <row r="500" spans="1:21" x14ac:dyDescent="0.25">
      <c r="A500" s="107"/>
      <c r="B500" s="107"/>
      <c r="C500" s="107"/>
      <c r="D500" s="107"/>
      <c r="E500" s="107"/>
      <c r="F500" s="107"/>
      <c r="G500" s="107"/>
      <c r="H500" s="107"/>
      <c r="I500" s="107"/>
      <c r="J500" s="107"/>
      <c r="K500" s="107"/>
      <c r="L500" s="107"/>
      <c r="M500" s="107"/>
      <c r="N500" s="107"/>
      <c r="O500" s="107"/>
      <c r="P500" s="107"/>
      <c r="Q500" s="107"/>
      <c r="R500" s="107"/>
      <c r="S500" s="107"/>
      <c r="T500" s="107"/>
      <c r="U500" s="107"/>
    </row>
    <row r="501" spans="1:21" x14ac:dyDescent="0.25">
      <c r="A501" s="107"/>
      <c r="B501" s="107"/>
      <c r="C501" s="107"/>
      <c r="D501" s="107"/>
      <c r="E501" s="107"/>
      <c r="F501" s="107"/>
      <c r="G501" s="107"/>
      <c r="H501" s="107"/>
      <c r="I501" s="107"/>
      <c r="J501" s="107"/>
      <c r="K501" s="107"/>
      <c r="L501" s="107"/>
      <c r="M501" s="107"/>
      <c r="N501" s="107"/>
      <c r="O501" s="107"/>
      <c r="P501" s="107"/>
      <c r="Q501" s="107"/>
      <c r="R501" s="107"/>
      <c r="S501" s="107"/>
      <c r="T501" s="107"/>
      <c r="U501" s="107"/>
    </row>
    <row r="502" spans="1:21" x14ac:dyDescent="0.25">
      <c r="A502" s="107"/>
      <c r="B502" s="107"/>
      <c r="C502" s="107"/>
      <c r="D502" s="107"/>
      <c r="E502" s="107"/>
      <c r="F502" s="107"/>
      <c r="G502" s="107"/>
      <c r="H502" s="107"/>
      <c r="I502" s="107"/>
      <c r="J502" s="107"/>
      <c r="K502" s="107"/>
      <c r="L502" s="107"/>
      <c r="M502" s="107"/>
      <c r="N502" s="107"/>
      <c r="O502" s="107"/>
      <c r="P502" s="107"/>
      <c r="Q502" s="107"/>
      <c r="R502" s="107"/>
      <c r="S502" s="107"/>
      <c r="T502" s="107"/>
      <c r="U502" s="107"/>
    </row>
    <row r="503" spans="1:21" x14ac:dyDescent="0.25">
      <c r="A503" s="107"/>
      <c r="B503" s="107"/>
      <c r="C503" s="107"/>
      <c r="D503" s="107"/>
      <c r="E503" s="107"/>
      <c r="F503" s="107"/>
      <c r="G503" s="107"/>
      <c r="H503" s="107"/>
      <c r="I503" s="107"/>
      <c r="J503" s="107"/>
      <c r="K503" s="107"/>
      <c r="L503" s="107"/>
      <c r="M503" s="107"/>
      <c r="N503" s="107"/>
      <c r="O503" s="107"/>
      <c r="P503" s="107"/>
      <c r="Q503" s="107"/>
      <c r="R503" s="107"/>
      <c r="S503" s="107"/>
      <c r="T503" s="107"/>
      <c r="U503" s="107"/>
    </row>
    <row r="504" spans="1:21" x14ac:dyDescent="0.25">
      <c r="A504" s="107"/>
      <c r="B504" s="107"/>
      <c r="C504" s="107"/>
      <c r="D504" s="107"/>
      <c r="E504" s="107"/>
      <c r="F504" s="107"/>
      <c r="G504" s="107"/>
      <c r="H504" s="107"/>
      <c r="I504" s="107"/>
      <c r="J504" s="107"/>
      <c r="K504" s="107"/>
      <c r="L504" s="107"/>
      <c r="M504" s="107"/>
      <c r="N504" s="107"/>
      <c r="O504" s="107"/>
      <c r="P504" s="107"/>
      <c r="Q504" s="107"/>
      <c r="R504" s="107"/>
      <c r="S504" s="107"/>
      <c r="T504" s="107"/>
      <c r="U504" s="107"/>
    </row>
    <row r="505" spans="1:21" x14ac:dyDescent="0.25">
      <c r="A505" s="107"/>
      <c r="B505" s="107"/>
      <c r="C505" s="107"/>
      <c r="D505" s="107"/>
      <c r="E505" s="107"/>
      <c r="F505" s="107"/>
      <c r="G505" s="107"/>
      <c r="H505" s="107"/>
      <c r="I505" s="107"/>
      <c r="J505" s="107"/>
      <c r="K505" s="107"/>
      <c r="L505" s="107"/>
      <c r="M505" s="107"/>
      <c r="N505" s="107"/>
      <c r="O505" s="107"/>
      <c r="P505" s="107"/>
      <c r="Q505" s="107"/>
      <c r="R505" s="107"/>
      <c r="S505" s="107"/>
      <c r="T505" s="107"/>
      <c r="U505" s="107"/>
    </row>
    <row r="506" spans="1:21" x14ac:dyDescent="0.25">
      <c r="A506" s="107"/>
      <c r="B506" s="107"/>
      <c r="C506" s="107"/>
      <c r="D506" s="107"/>
      <c r="E506" s="107"/>
      <c r="F506" s="107"/>
      <c r="G506" s="107"/>
      <c r="H506" s="107"/>
      <c r="I506" s="107"/>
      <c r="J506" s="107"/>
      <c r="K506" s="107"/>
      <c r="L506" s="107"/>
      <c r="M506" s="107"/>
      <c r="N506" s="107"/>
      <c r="O506" s="107"/>
      <c r="P506" s="107"/>
      <c r="Q506" s="107"/>
      <c r="R506" s="107"/>
      <c r="S506" s="107"/>
      <c r="T506" s="107"/>
      <c r="U506" s="107"/>
    </row>
    <row r="507" spans="1:21" x14ac:dyDescent="0.25">
      <c r="A507" s="107"/>
      <c r="B507" s="107"/>
      <c r="C507" s="107"/>
      <c r="D507" s="107"/>
      <c r="E507" s="107"/>
      <c r="F507" s="107"/>
      <c r="G507" s="107"/>
      <c r="H507" s="107"/>
      <c r="I507" s="107"/>
      <c r="J507" s="107"/>
      <c r="K507" s="107"/>
      <c r="L507" s="107"/>
      <c r="M507" s="107"/>
      <c r="N507" s="107"/>
      <c r="O507" s="107"/>
      <c r="P507" s="107"/>
      <c r="Q507" s="107"/>
      <c r="R507" s="107"/>
      <c r="S507" s="107"/>
      <c r="T507" s="107"/>
      <c r="U507" s="107"/>
    </row>
    <row r="508" spans="1:21" x14ac:dyDescent="0.25">
      <c r="A508" s="107"/>
      <c r="B508" s="107"/>
      <c r="C508" s="107"/>
      <c r="D508" s="107"/>
      <c r="E508" s="107"/>
      <c r="F508" s="107"/>
      <c r="G508" s="107"/>
      <c r="H508" s="107"/>
      <c r="I508" s="107"/>
      <c r="J508" s="107"/>
      <c r="K508" s="107"/>
      <c r="L508" s="107"/>
      <c r="M508" s="107"/>
      <c r="N508" s="107"/>
      <c r="O508" s="107"/>
      <c r="P508" s="107"/>
      <c r="Q508" s="107"/>
      <c r="R508" s="107"/>
      <c r="S508" s="107"/>
      <c r="T508" s="107"/>
      <c r="U508" s="107"/>
    </row>
    <row r="509" spans="1:21" x14ac:dyDescent="0.25">
      <c r="A509" s="107"/>
      <c r="B509" s="107"/>
      <c r="C509" s="107"/>
      <c r="D509" s="107"/>
      <c r="E509" s="107"/>
      <c r="F509" s="107"/>
      <c r="G509" s="107"/>
      <c r="H509" s="107"/>
      <c r="I509" s="107"/>
      <c r="J509" s="107"/>
      <c r="K509" s="107"/>
      <c r="L509" s="107"/>
      <c r="M509" s="107"/>
      <c r="N509" s="107"/>
      <c r="O509" s="107"/>
      <c r="P509" s="107"/>
      <c r="Q509" s="107"/>
      <c r="R509" s="107"/>
      <c r="S509" s="107"/>
      <c r="T509" s="107"/>
      <c r="U509" s="107"/>
    </row>
    <row r="510" spans="1:21" x14ac:dyDescent="0.25">
      <c r="A510" s="107"/>
      <c r="B510" s="107"/>
      <c r="C510" s="107"/>
      <c r="D510" s="107"/>
      <c r="E510" s="107"/>
      <c r="F510" s="107"/>
      <c r="G510" s="107"/>
      <c r="H510" s="107"/>
      <c r="I510" s="107"/>
      <c r="J510" s="107"/>
      <c r="K510" s="107"/>
      <c r="L510" s="107"/>
      <c r="M510" s="107"/>
      <c r="N510" s="107"/>
      <c r="O510" s="107"/>
      <c r="P510" s="107"/>
      <c r="Q510" s="107"/>
      <c r="R510" s="107"/>
      <c r="S510" s="107"/>
      <c r="T510" s="107"/>
      <c r="U510" s="107"/>
    </row>
    <row r="511" spans="1:21" x14ac:dyDescent="0.25">
      <c r="A511" s="107"/>
      <c r="B511" s="107"/>
      <c r="C511" s="107"/>
      <c r="D511" s="107"/>
      <c r="E511" s="107"/>
      <c r="F511" s="107"/>
      <c r="G511" s="107"/>
      <c r="H511" s="107"/>
      <c r="I511" s="107"/>
      <c r="J511" s="107"/>
      <c r="K511" s="107"/>
      <c r="L511" s="107"/>
      <c r="M511" s="107"/>
      <c r="N511" s="107"/>
      <c r="O511" s="107"/>
      <c r="P511" s="107"/>
      <c r="Q511" s="107"/>
      <c r="R511" s="107"/>
      <c r="S511" s="107"/>
      <c r="T511" s="107"/>
      <c r="U511" s="107"/>
    </row>
    <row r="512" spans="1:21" x14ac:dyDescent="0.25">
      <c r="A512" s="107"/>
      <c r="B512" s="107"/>
      <c r="C512" s="107"/>
      <c r="D512" s="107"/>
      <c r="E512" s="107"/>
      <c r="F512" s="107"/>
      <c r="G512" s="107"/>
      <c r="H512" s="107"/>
      <c r="I512" s="107"/>
      <c r="J512" s="107"/>
      <c r="K512" s="107"/>
      <c r="L512" s="107"/>
      <c r="M512" s="107"/>
      <c r="N512" s="107"/>
      <c r="O512" s="107"/>
      <c r="P512" s="107"/>
      <c r="Q512" s="107"/>
      <c r="R512" s="107"/>
      <c r="S512" s="107"/>
      <c r="T512" s="107"/>
      <c r="U512" s="107"/>
    </row>
    <row r="513" spans="1:21" x14ac:dyDescent="0.25">
      <c r="A513" s="107"/>
      <c r="B513" s="107"/>
      <c r="C513" s="107"/>
      <c r="D513" s="107"/>
      <c r="E513" s="107"/>
      <c r="F513" s="107"/>
      <c r="G513" s="107"/>
      <c r="H513" s="107"/>
      <c r="I513" s="107"/>
      <c r="J513" s="107"/>
      <c r="K513" s="107"/>
      <c r="L513" s="107"/>
      <c r="M513" s="107"/>
      <c r="N513" s="107"/>
      <c r="O513" s="107"/>
      <c r="P513" s="107"/>
      <c r="Q513" s="107"/>
      <c r="R513" s="107"/>
      <c r="S513" s="107"/>
      <c r="T513" s="107"/>
      <c r="U513" s="107"/>
    </row>
    <row r="514" spans="1:21" x14ac:dyDescent="0.25">
      <c r="A514" s="107"/>
      <c r="B514" s="107"/>
      <c r="C514" s="107"/>
      <c r="D514" s="107"/>
      <c r="E514" s="107"/>
      <c r="F514" s="107"/>
      <c r="G514" s="107"/>
      <c r="H514" s="107"/>
      <c r="I514" s="107"/>
      <c r="J514" s="107"/>
      <c r="K514" s="107"/>
      <c r="L514" s="107"/>
      <c r="M514" s="107"/>
      <c r="N514" s="107"/>
      <c r="O514" s="107"/>
      <c r="P514" s="107"/>
      <c r="Q514" s="107"/>
      <c r="R514" s="107"/>
      <c r="S514" s="107"/>
      <c r="T514" s="107"/>
      <c r="U514" s="107"/>
    </row>
    <row r="515" spans="1:21" x14ac:dyDescent="0.25">
      <c r="A515" s="107"/>
      <c r="B515" s="107"/>
      <c r="C515" s="107"/>
      <c r="D515" s="107"/>
      <c r="E515" s="107"/>
      <c r="F515" s="107"/>
      <c r="G515" s="107"/>
      <c r="H515" s="107"/>
      <c r="I515" s="107"/>
      <c r="J515" s="107"/>
      <c r="K515" s="107"/>
      <c r="L515" s="107"/>
      <c r="M515" s="107"/>
      <c r="N515" s="107"/>
      <c r="O515" s="107"/>
      <c r="P515" s="107"/>
      <c r="Q515" s="107"/>
      <c r="R515" s="107"/>
      <c r="S515" s="107"/>
      <c r="T515" s="107"/>
      <c r="U515" s="107"/>
    </row>
    <row r="516" spans="1:21" x14ac:dyDescent="0.25">
      <c r="A516" s="107"/>
      <c r="B516" s="107"/>
      <c r="C516" s="107"/>
      <c r="D516" s="107"/>
      <c r="E516" s="107"/>
      <c r="F516" s="107"/>
      <c r="G516" s="107"/>
      <c r="H516" s="107"/>
      <c r="I516" s="107"/>
      <c r="J516" s="107"/>
      <c r="K516" s="107"/>
      <c r="L516" s="107"/>
      <c r="M516" s="107"/>
      <c r="N516" s="107"/>
      <c r="O516" s="107"/>
      <c r="P516" s="107"/>
      <c r="Q516" s="107"/>
      <c r="R516" s="107"/>
      <c r="S516" s="107"/>
      <c r="T516" s="107"/>
      <c r="U516" s="107"/>
    </row>
    <row r="517" spans="1:21" x14ac:dyDescent="0.25">
      <c r="A517" s="107"/>
      <c r="B517" s="107"/>
      <c r="C517" s="107"/>
      <c r="D517" s="107"/>
      <c r="E517" s="107"/>
      <c r="F517" s="107"/>
      <c r="G517" s="107"/>
      <c r="H517" s="107"/>
      <c r="I517" s="107"/>
      <c r="J517" s="107"/>
      <c r="K517" s="107"/>
      <c r="L517" s="107"/>
      <c r="M517" s="107"/>
      <c r="N517" s="107"/>
      <c r="O517" s="107"/>
      <c r="P517" s="107"/>
      <c r="Q517" s="107"/>
      <c r="R517" s="107"/>
      <c r="S517" s="107"/>
      <c r="T517" s="107"/>
      <c r="U517" s="107"/>
    </row>
    <row r="518" spans="1:21" x14ac:dyDescent="0.25">
      <c r="A518" s="107"/>
      <c r="B518" s="107"/>
      <c r="C518" s="107"/>
      <c r="D518" s="107"/>
      <c r="E518" s="107"/>
      <c r="F518" s="107"/>
      <c r="G518" s="107"/>
      <c r="H518" s="107"/>
      <c r="I518" s="107"/>
      <c r="J518" s="107"/>
      <c r="K518" s="107"/>
      <c r="L518" s="107"/>
      <c r="M518" s="107"/>
      <c r="N518" s="107"/>
      <c r="O518" s="107"/>
      <c r="P518" s="107"/>
      <c r="Q518" s="107"/>
      <c r="R518" s="107"/>
      <c r="S518" s="107"/>
      <c r="T518" s="107"/>
      <c r="U518" s="107"/>
    </row>
    <row r="519" spans="1:21" x14ac:dyDescent="0.25">
      <c r="A519" s="107"/>
      <c r="B519" s="107"/>
      <c r="C519" s="107"/>
      <c r="D519" s="107"/>
      <c r="E519" s="107"/>
      <c r="F519" s="107"/>
      <c r="G519" s="107"/>
      <c r="H519" s="107"/>
      <c r="I519" s="107"/>
      <c r="J519" s="107"/>
      <c r="K519" s="107"/>
      <c r="L519" s="107"/>
      <c r="M519" s="107"/>
      <c r="N519" s="107"/>
      <c r="O519" s="107"/>
      <c r="P519" s="107"/>
      <c r="Q519" s="107"/>
      <c r="R519" s="107"/>
      <c r="S519" s="107"/>
      <c r="T519" s="107"/>
      <c r="U519" s="107"/>
    </row>
    <row r="520" spans="1:21" x14ac:dyDescent="0.25">
      <c r="A520" s="107"/>
      <c r="B520" s="107"/>
      <c r="C520" s="107"/>
      <c r="D520" s="107"/>
      <c r="E520" s="107"/>
      <c r="F520" s="107"/>
      <c r="G520" s="107"/>
      <c r="H520" s="107"/>
      <c r="I520" s="107"/>
      <c r="J520" s="107"/>
      <c r="K520" s="107"/>
      <c r="L520" s="107"/>
      <c r="M520" s="107"/>
      <c r="N520" s="107"/>
      <c r="O520" s="107"/>
      <c r="P520" s="107"/>
      <c r="Q520" s="107"/>
      <c r="R520" s="107"/>
      <c r="S520" s="107"/>
      <c r="T520" s="107"/>
      <c r="U520" s="107"/>
    </row>
    <row r="521" spans="1:21" x14ac:dyDescent="0.25">
      <c r="A521" s="107"/>
      <c r="B521" s="107"/>
      <c r="C521" s="107"/>
      <c r="D521" s="107"/>
      <c r="E521" s="107"/>
      <c r="F521" s="107"/>
      <c r="G521" s="107"/>
      <c r="H521" s="107"/>
      <c r="I521" s="107"/>
      <c r="J521" s="107"/>
      <c r="K521" s="107"/>
      <c r="L521" s="107"/>
      <c r="M521" s="107"/>
      <c r="N521" s="107"/>
      <c r="O521" s="107"/>
      <c r="P521" s="107"/>
      <c r="Q521" s="107"/>
      <c r="R521" s="107"/>
      <c r="S521" s="107"/>
      <c r="T521" s="107"/>
      <c r="U521" s="107"/>
    </row>
    <row r="522" spans="1:21" x14ac:dyDescent="0.25">
      <c r="A522" s="107"/>
      <c r="B522" s="107"/>
      <c r="C522" s="107"/>
      <c r="D522" s="107"/>
      <c r="E522" s="107"/>
      <c r="F522" s="107"/>
      <c r="G522" s="107"/>
      <c r="H522" s="107"/>
      <c r="I522" s="107"/>
      <c r="J522" s="107"/>
      <c r="K522" s="107"/>
      <c r="L522" s="107"/>
      <c r="M522" s="107"/>
      <c r="N522" s="107"/>
      <c r="O522" s="107"/>
      <c r="P522" s="107"/>
      <c r="Q522" s="107"/>
      <c r="R522" s="107"/>
      <c r="S522" s="107"/>
      <c r="T522" s="107"/>
      <c r="U522" s="107"/>
    </row>
    <row r="523" spans="1:21" x14ac:dyDescent="0.25">
      <c r="A523" s="107"/>
      <c r="B523" s="107"/>
      <c r="C523" s="107"/>
      <c r="D523" s="107"/>
      <c r="E523" s="107"/>
      <c r="F523" s="107"/>
      <c r="G523" s="107"/>
      <c r="H523" s="107"/>
      <c r="I523" s="107"/>
      <c r="J523" s="107"/>
      <c r="K523" s="107"/>
      <c r="L523" s="107"/>
      <c r="M523" s="107"/>
      <c r="N523" s="107"/>
      <c r="O523" s="107"/>
      <c r="P523" s="107"/>
      <c r="Q523" s="107"/>
      <c r="R523" s="107"/>
      <c r="S523" s="107"/>
      <c r="T523" s="107"/>
      <c r="U523" s="107"/>
    </row>
    <row r="524" spans="1:21" x14ac:dyDescent="0.25">
      <c r="A524" s="107"/>
      <c r="B524" s="107"/>
      <c r="C524" s="107"/>
      <c r="D524" s="107"/>
      <c r="E524" s="107"/>
      <c r="F524" s="107"/>
      <c r="G524" s="107"/>
      <c r="H524" s="107"/>
      <c r="I524" s="107"/>
      <c r="J524" s="107"/>
      <c r="K524" s="107"/>
      <c r="L524" s="107"/>
      <c r="M524" s="107"/>
      <c r="N524" s="107"/>
      <c r="O524" s="107"/>
      <c r="P524" s="107"/>
      <c r="Q524" s="107"/>
      <c r="R524" s="107"/>
      <c r="S524" s="107"/>
      <c r="T524" s="107"/>
      <c r="U524" s="107"/>
    </row>
    <row r="525" spans="1:21" x14ac:dyDescent="0.25">
      <c r="A525" s="107"/>
      <c r="B525" s="107"/>
      <c r="C525" s="107"/>
      <c r="D525" s="107"/>
      <c r="E525" s="107"/>
      <c r="F525" s="107"/>
      <c r="G525" s="107"/>
      <c r="H525" s="107"/>
      <c r="I525" s="107"/>
      <c r="J525" s="107"/>
      <c r="K525" s="107"/>
      <c r="L525" s="107"/>
      <c r="M525" s="107"/>
      <c r="N525" s="107"/>
      <c r="O525" s="107"/>
      <c r="P525" s="107"/>
      <c r="Q525" s="107"/>
      <c r="R525" s="107"/>
      <c r="S525" s="107"/>
      <c r="T525" s="107"/>
      <c r="U525" s="107"/>
    </row>
    <row r="526" spans="1:21" x14ac:dyDescent="0.25">
      <c r="A526" s="107"/>
      <c r="B526" s="107"/>
      <c r="C526" s="107"/>
      <c r="D526" s="107"/>
      <c r="E526" s="107"/>
      <c r="F526" s="107"/>
      <c r="G526" s="107"/>
      <c r="H526" s="107"/>
      <c r="I526" s="107"/>
      <c r="J526" s="107"/>
      <c r="K526" s="107"/>
      <c r="L526" s="107"/>
      <c r="M526" s="107"/>
      <c r="N526" s="107"/>
      <c r="O526" s="107"/>
      <c r="P526" s="107"/>
      <c r="Q526" s="107"/>
      <c r="R526" s="107"/>
      <c r="S526" s="107"/>
      <c r="T526" s="107"/>
      <c r="U526" s="107"/>
    </row>
    <row r="527" spans="1:21" x14ac:dyDescent="0.25">
      <c r="A527" s="107"/>
      <c r="B527" s="107"/>
      <c r="C527" s="107"/>
      <c r="D527" s="107"/>
      <c r="E527" s="107"/>
      <c r="F527" s="107"/>
      <c r="G527" s="107"/>
      <c r="H527" s="107"/>
      <c r="I527" s="107"/>
      <c r="J527" s="107"/>
      <c r="K527" s="107"/>
      <c r="L527" s="107"/>
      <c r="M527" s="107"/>
      <c r="N527" s="107"/>
      <c r="O527" s="107"/>
      <c r="P527" s="107"/>
      <c r="Q527" s="107"/>
      <c r="R527" s="107"/>
      <c r="S527" s="107"/>
      <c r="T527" s="107"/>
      <c r="U527" s="107"/>
    </row>
    <row r="528" spans="1:21" x14ac:dyDescent="0.25">
      <c r="A528" s="107"/>
      <c r="B528" s="107"/>
      <c r="C528" s="107"/>
      <c r="D528" s="107"/>
      <c r="E528" s="107"/>
      <c r="F528" s="107"/>
      <c r="G528" s="107"/>
      <c r="H528" s="107"/>
      <c r="I528" s="107"/>
      <c r="J528" s="107"/>
      <c r="K528" s="107"/>
      <c r="L528" s="107"/>
      <c r="M528" s="107"/>
      <c r="N528" s="107"/>
      <c r="O528" s="107"/>
      <c r="P528" s="107"/>
      <c r="Q528" s="107"/>
      <c r="R528" s="107"/>
      <c r="S528" s="107"/>
      <c r="T528" s="107"/>
      <c r="U528" s="107"/>
    </row>
    <row r="529" spans="1:21" x14ac:dyDescent="0.25">
      <c r="A529" s="107"/>
      <c r="B529" s="107"/>
      <c r="C529" s="107"/>
      <c r="D529" s="107"/>
      <c r="E529" s="107"/>
      <c r="F529" s="107"/>
      <c r="G529" s="107"/>
      <c r="H529" s="107"/>
      <c r="I529" s="107"/>
      <c r="J529" s="107"/>
      <c r="K529" s="107"/>
      <c r="L529" s="107"/>
      <c r="M529" s="107"/>
      <c r="N529" s="107"/>
      <c r="O529" s="107"/>
      <c r="P529" s="107"/>
      <c r="Q529" s="107"/>
      <c r="R529" s="107"/>
      <c r="S529" s="107"/>
      <c r="T529" s="107"/>
      <c r="U529" s="107"/>
    </row>
    <row r="530" spans="1:21" x14ac:dyDescent="0.25">
      <c r="A530" s="107"/>
      <c r="B530" s="107"/>
      <c r="C530" s="107"/>
      <c r="D530" s="107"/>
      <c r="E530" s="107"/>
      <c r="F530" s="107"/>
      <c r="G530" s="107"/>
      <c r="H530" s="107"/>
      <c r="I530" s="107"/>
      <c r="J530" s="107"/>
      <c r="K530" s="107"/>
      <c r="L530" s="107"/>
      <c r="M530" s="107"/>
      <c r="N530" s="107"/>
      <c r="O530" s="107"/>
      <c r="P530" s="107"/>
      <c r="Q530" s="107"/>
      <c r="R530" s="107"/>
      <c r="S530" s="107"/>
      <c r="T530" s="107"/>
      <c r="U530" s="107"/>
    </row>
    <row r="531" spans="1:21" x14ac:dyDescent="0.25">
      <c r="A531" s="107"/>
      <c r="B531" s="107"/>
      <c r="C531" s="107"/>
      <c r="D531" s="107"/>
      <c r="E531" s="107"/>
      <c r="F531" s="107"/>
      <c r="G531" s="107"/>
      <c r="H531" s="107"/>
      <c r="I531" s="107"/>
      <c r="J531" s="107"/>
      <c r="K531" s="107"/>
      <c r="L531" s="107"/>
      <c r="M531" s="107"/>
      <c r="N531" s="107"/>
      <c r="O531" s="107"/>
      <c r="P531" s="107"/>
      <c r="Q531" s="107"/>
      <c r="R531" s="107"/>
      <c r="S531" s="107"/>
      <c r="T531" s="107"/>
      <c r="U531" s="107"/>
    </row>
    <row r="532" spans="1:21" x14ac:dyDescent="0.25">
      <c r="A532" s="107"/>
      <c r="B532" s="107"/>
      <c r="C532" s="107"/>
      <c r="D532" s="107"/>
      <c r="E532" s="107"/>
      <c r="F532" s="107"/>
      <c r="G532" s="107"/>
      <c r="H532" s="107"/>
      <c r="I532" s="107"/>
      <c r="J532" s="107"/>
      <c r="K532" s="107"/>
      <c r="L532" s="107"/>
      <c r="M532" s="107"/>
      <c r="N532" s="107"/>
      <c r="O532" s="107"/>
      <c r="P532" s="107"/>
      <c r="Q532" s="107"/>
      <c r="R532" s="107"/>
      <c r="S532" s="107"/>
      <c r="T532" s="107"/>
      <c r="U532" s="107"/>
    </row>
    <row r="533" spans="1:21" x14ac:dyDescent="0.25">
      <c r="A533" s="107"/>
      <c r="B533" s="107"/>
      <c r="C533" s="107"/>
      <c r="D533" s="107"/>
      <c r="E533" s="107"/>
      <c r="F533" s="107"/>
      <c r="G533" s="107"/>
      <c r="H533" s="107"/>
      <c r="I533" s="107"/>
      <c r="J533" s="107"/>
      <c r="K533" s="107"/>
      <c r="L533" s="107"/>
      <c r="M533" s="107"/>
      <c r="N533" s="107"/>
      <c r="O533" s="107"/>
      <c r="P533" s="107"/>
      <c r="Q533" s="107"/>
      <c r="R533" s="107"/>
      <c r="S533" s="107"/>
      <c r="T533" s="107"/>
      <c r="U533" s="107"/>
    </row>
    <row r="534" spans="1:21" x14ac:dyDescent="0.25">
      <c r="A534" s="107"/>
      <c r="B534" s="107"/>
      <c r="C534" s="107"/>
      <c r="D534" s="107"/>
      <c r="E534" s="107"/>
      <c r="F534" s="107"/>
      <c r="G534" s="107"/>
      <c r="H534" s="107"/>
      <c r="I534" s="107"/>
      <c r="J534" s="107"/>
      <c r="K534" s="107"/>
      <c r="L534" s="107"/>
      <c r="M534" s="107"/>
      <c r="N534" s="107"/>
      <c r="O534" s="107"/>
      <c r="P534" s="107"/>
      <c r="Q534" s="107"/>
      <c r="R534" s="107"/>
      <c r="S534" s="107"/>
      <c r="T534" s="107"/>
      <c r="U534" s="107"/>
    </row>
    <row r="535" spans="1:21" x14ac:dyDescent="0.25">
      <c r="A535" s="107"/>
      <c r="B535" s="107"/>
      <c r="C535" s="107"/>
      <c r="D535" s="107"/>
      <c r="E535" s="107"/>
      <c r="F535" s="107"/>
      <c r="G535" s="107"/>
      <c r="H535" s="107"/>
      <c r="I535" s="107"/>
      <c r="J535" s="107"/>
      <c r="K535" s="107"/>
      <c r="L535" s="107"/>
      <c r="M535" s="107"/>
      <c r="N535" s="107"/>
      <c r="O535" s="107"/>
      <c r="P535" s="107"/>
      <c r="Q535" s="107"/>
      <c r="R535" s="107"/>
      <c r="S535" s="107"/>
      <c r="T535" s="107"/>
      <c r="U535" s="107"/>
    </row>
    <row r="536" spans="1:21" x14ac:dyDescent="0.25">
      <c r="A536" s="107"/>
      <c r="B536" s="107"/>
      <c r="C536" s="107"/>
      <c r="D536" s="107"/>
      <c r="E536" s="107"/>
      <c r="F536" s="107"/>
      <c r="G536" s="107"/>
      <c r="H536" s="107"/>
      <c r="I536" s="107"/>
      <c r="J536" s="107"/>
      <c r="K536" s="107"/>
      <c r="L536" s="107"/>
      <c r="M536" s="107"/>
      <c r="N536" s="107"/>
      <c r="O536" s="107"/>
      <c r="P536" s="107"/>
      <c r="Q536" s="107"/>
      <c r="R536" s="107"/>
      <c r="S536" s="107"/>
      <c r="T536" s="107"/>
      <c r="U536" s="107"/>
    </row>
    <row r="537" spans="1:21" x14ac:dyDescent="0.25">
      <c r="A537" s="107"/>
      <c r="B537" s="107"/>
      <c r="C537" s="107"/>
      <c r="D537" s="107"/>
      <c r="E537" s="107"/>
      <c r="F537" s="107"/>
      <c r="G537" s="107"/>
      <c r="H537" s="107"/>
      <c r="I537" s="107"/>
      <c r="J537" s="107"/>
      <c r="K537" s="107"/>
      <c r="L537" s="107"/>
      <c r="M537" s="107"/>
      <c r="N537" s="107"/>
      <c r="O537" s="107"/>
      <c r="P537" s="107"/>
      <c r="Q537" s="107"/>
      <c r="R537" s="107"/>
      <c r="S537" s="107"/>
      <c r="T537" s="107"/>
      <c r="U537" s="107"/>
    </row>
    <row r="538" spans="1:21" x14ac:dyDescent="0.25">
      <c r="A538" s="107"/>
      <c r="B538" s="107"/>
      <c r="C538" s="107"/>
      <c r="D538" s="107"/>
      <c r="E538" s="107"/>
      <c r="F538" s="107"/>
      <c r="G538" s="107"/>
      <c r="H538" s="107"/>
      <c r="I538" s="107"/>
      <c r="J538" s="107"/>
      <c r="K538" s="107"/>
      <c r="L538" s="107"/>
      <c r="M538" s="107"/>
      <c r="N538" s="107"/>
      <c r="O538" s="107"/>
      <c r="P538" s="107"/>
      <c r="Q538" s="107"/>
      <c r="R538" s="107"/>
      <c r="S538" s="107"/>
      <c r="T538" s="107"/>
      <c r="U538" s="107"/>
    </row>
    <row r="539" spans="1:21" x14ac:dyDescent="0.25">
      <c r="A539" s="107"/>
      <c r="B539" s="107"/>
      <c r="C539" s="107"/>
      <c r="D539" s="107"/>
      <c r="E539" s="107"/>
      <c r="F539" s="107"/>
      <c r="G539" s="107"/>
      <c r="H539" s="107"/>
      <c r="I539" s="107"/>
      <c r="J539" s="107"/>
      <c r="K539" s="107"/>
      <c r="L539" s="107"/>
      <c r="M539" s="107"/>
      <c r="N539" s="107"/>
      <c r="O539" s="107"/>
      <c r="P539" s="107"/>
      <c r="Q539" s="107"/>
      <c r="R539" s="107"/>
      <c r="S539" s="107"/>
      <c r="T539" s="107"/>
      <c r="U539" s="107"/>
    </row>
    <row r="540" spans="1:21" x14ac:dyDescent="0.25">
      <c r="A540" s="107"/>
      <c r="B540" s="107"/>
      <c r="C540" s="107"/>
      <c r="D540" s="107"/>
      <c r="E540" s="107"/>
      <c r="F540" s="107"/>
      <c r="G540" s="107"/>
      <c r="H540" s="107"/>
      <c r="I540" s="107"/>
      <c r="J540" s="107"/>
      <c r="K540" s="107"/>
      <c r="L540" s="107"/>
      <c r="M540" s="107"/>
      <c r="N540" s="107"/>
      <c r="O540" s="107"/>
      <c r="P540" s="107"/>
      <c r="Q540" s="107"/>
      <c r="R540" s="107"/>
      <c r="S540" s="107"/>
      <c r="T540" s="107"/>
      <c r="U540" s="107"/>
    </row>
    <row r="541" spans="1:21" x14ac:dyDescent="0.25">
      <c r="A541" s="107"/>
      <c r="B541" s="107"/>
      <c r="C541" s="107"/>
      <c r="D541" s="107"/>
      <c r="E541" s="107"/>
      <c r="F541" s="107"/>
      <c r="G541" s="107"/>
      <c r="H541" s="107"/>
      <c r="I541" s="107"/>
      <c r="J541" s="107"/>
      <c r="K541" s="107"/>
      <c r="L541" s="107"/>
      <c r="M541" s="107"/>
      <c r="N541" s="107"/>
      <c r="O541" s="107"/>
      <c r="P541" s="107"/>
      <c r="Q541" s="107"/>
      <c r="R541" s="107"/>
      <c r="S541" s="107"/>
      <c r="T541" s="107"/>
      <c r="U541" s="107"/>
    </row>
    <row r="542" spans="1:21" x14ac:dyDescent="0.25">
      <c r="A542" s="107"/>
      <c r="B542" s="107"/>
      <c r="C542" s="107"/>
      <c r="D542" s="107"/>
      <c r="E542" s="107"/>
      <c r="F542" s="107"/>
      <c r="G542" s="107"/>
      <c r="H542" s="107"/>
      <c r="I542" s="107"/>
      <c r="J542" s="107"/>
      <c r="K542" s="107"/>
      <c r="L542" s="107"/>
      <c r="M542" s="107"/>
      <c r="N542" s="107"/>
      <c r="O542" s="107"/>
      <c r="P542" s="107"/>
      <c r="Q542" s="107"/>
      <c r="R542" s="107"/>
      <c r="S542" s="107"/>
      <c r="T542" s="107"/>
      <c r="U542" s="107"/>
    </row>
    <row r="543" spans="1:21" x14ac:dyDescent="0.25">
      <c r="A543" s="107"/>
      <c r="B543" s="107"/>
      <c r="C543" s="107"/>
      <c r="D543" s="107"/>
      <c r="E543" s="107"/>
      <c r="F543" s="107"/>
      <c r="G543" s="107"/>
      <c r="H543" s="107"/>
      <c r="I543" s="107"/>
      <c r="J543" s="107"/>
      <c r="K543" s="107"/>
      <c r="L543" s="107"/>
      <c r="M543" s="107"/>
      <c r="N543" s="107"/>
      <c r="O543" s="107"/>
      <c r="P543" s="107"/>
      <c r="Q543" s="107"/>
      <c r="R543" s="107"/>
      <c r="S543" s="107"/>
      <c r="T543" s="107"/>
      <c r="U543" s="107"/>
    </row>
    <row r="544" spans="1:21" x14ac:dyDescent="0.25">
      <c r="A544" s="107"/>
      <c r="B544" s="107"/>
      <c r="C544" s="107"/>
      <c r="D544" s="107"/>
      <c r="E544" s="107"/>
      <c r="F544" s="107"/>
      <c r="G544" s="107"/>
      <c r="H544" s="107"/>
      <c r="I544" s="107"/>
      <c r="J544" s="107"/>
      <c r="K544" s="107"/>
      <c r="L544" s="107"/>
      <c r="M544" s="107"/>
      <c r="N544" s="107"/>
      <c r="O544" s="107"/>
      <c r="P544" s="107"/>
      <c r="Q544" s="107"/>
      <c r="R544" s="107"/>
      <c r="S544" s="107"/>
      <c r="T544" s="107"/>
      <c r="U544" s="107"/>
    </row>
    <row r="545" spans="1:21" x14ac:dyDescent="0.25">
      <c r="A545" s="107"/>
      <c r="B545" s="107"/>
      <c r="C545" s="107"/>
      <c r="D545" s="107"/>
      <c r="E545" s="107"/>
      <c r="F545" s="107"/>
      <c r="G545" s="107"/>
      <c r="H545" s="107"/>
      <c r="I545" s="107"/>
      <c r="J545" s="107"/>
      <c r="K545" s="107"/>
      <c r="L545" s="107"/>
      <c r="M545" s="107"/>
      <c r="N545" s="107"/>
      <c r="O545" s="107"/>
      <c r="P545" s="107"/>
      <c r="Q545" s="107"/>
      <c r="R545" s="107"/>
      <c r="S545" s="107"/>
      <c r="T545" s="107"/>
      <c r="U545" s="107"/>
    </row>
    <row r="546" spans="1:21" x14ac:dyDescent="0.25">
      <c r="A546" s="107"/>
      <c r="B546" s="107"/>
      <c r="C546" s="107"/>
      <c r="D546" s="107"/>
      <c r="E546" s="107"/>
      <c r="F546" s="107"/>
      <c r="G546" s="107"/>
      <c r="H546" s="107"/>
      <c r="I546" s="107"/>
      <c r="J546" s="107"/>
      <c r="K546" s="107"/>
      <c r="L546" s="107"/>
      <c r="M546" s="107"/>
      <c r="N546" s="107"/>
      <c r="O546" s="107"/>
      <c r="P546" s="107"/>
      <c r="Q546" s="107"/>
      <c r="R546" s="107"/>
      <c r="S546" s="107"/>
      <c r="T546" s="107"/>
      <c r="U546" s="107"/>
    </row>
    <row r="547" spans="1:21" x14ac:dyDescent="0.25">
      <c r="A547" s="107"/>
      <c r="B547" s="107"/>
      <c r="C547" s="107"/>
      <c r="D547" s="107"/>
      <c r="E547" s="107"/>
      <c r="F547" s="107"/>
      <c r="G547" s="107"/>
      <c r="H547" s="107"/>
      <c r="I547" s="107"/>
      <c r="J547" s="107"/>
      <c r="K547" s="107"/>
      <c r="L547" s="107"/>
      <c r="M547" s="107"/>
      <c r="N547" s="107"/>
      <c r="O547" s="107"/>
      <c r="P547" s="107"/>
      <c r="Q547" s="107"/>
      <c r="R547" s="107"/>
      <c r="S547" s="107"/>
      <c r="T547" s="107"/>
      <c r="U547" s="107"/>
    </row>
    <row r="548" spans="1:21" x14ac:dyDescent="0.25">
      <c r="A548" s="107"/>
      <c r="B548" s="107"/>
      <c r="C548" s="107"/>
      <c r="D548" s="107"/>
      <c r="E548" s="107"/>
      <c r="F548" s="107"/>
      <c r="G548" s="107"/>
      <c r="H548" s="107"/>
      <c r="I548" s="107"/>
      <c r="J548" s="107"/>
      <c r="K548" s="107"/>
      <c r="L548" s="107"/>
      <c r="M548" s="107"/>
      <c r="N548" s="107"/>
      <c r="O548" s="107"/>
      <c r="P548" s="107"/>
      <c r="Q548" s="107"/>
      <c r="R548" s="107"/>
      <c r="S548" s="107"/>
      <c r="T548" s="107"/>
      <c r="U548" s="107"/>
    </row>
    <row r="549" spans="1:21" x14ac:dyDescent="0.25">
      <c r="A549" s="107"/>
      <c r="B549" s="107"/>
      <c r="C549" s="107"/>
      <c r="D549" s="107"/>
      <c r="E549" s="107"/>
      <c r="F549" s="107"/>
      <c r="G549" s="107"/>
      <c r="H549" s="107"/>
      <c r="I549" s="107"/>
      <c r="J549" s="107"/>
      <c r="K549" s="107"/>
      <c r="L549" s="107"/>
      <c r="M549" s="107"/>
      <c r="N549" s="107"/>
      <c r="O549" s="107"/>
      <c r="P549" s="107"/>
      <c r="Q549" s="107"/>
      <c r="R549" s="107"/>
      <c r="S549" s="107"/>
      <c r="T549" s="107"/>
      <c r="U549" s="107"/>
    </row>
    <row r="550" spans="1:21" x14ac:dyDescent="0.25">
      <c r="A550" s="107"/>
      <c r="B550" s="107"/>
      <c r="C550" s="107"/>
      <c r="D550" s="107"/>
      <c r="E550" s="107"/>
      <c r="F550" s="107"/>
      <c r="G550" s="107"/>
      <c r="H550" s="107"/>
      <c r="I550" s="107"/>
      <c r="J550" s="107"/>
      <c r="K550" s="107"/>
      <c r="L550" s="107"/>
      <c r="M550" s="107"/>
      <c r="N550" s="107"/>
      <c r="O550" s="107"/>
      <c r="P550" s="107"/>
      <c r="Q550" s="107"/>
      <c r="R550" s="107"/>
      <c r="S550" s="107"/>
      <c r="T550" s="107"/>
      <c r="U550" s="107"/>
    </row>
    <row r="551" spans="1:21" x14ac:dyDescent="0.25">
      <c r="A551" s="107"/>
      <c r="B551" s="107"/>
      <c r="C551" s="107"/>
      <c r="D551" s="107"/>
      <c r="E551" s="107"/>
      <c r="F551" s="107"/>
      <c r="G551" s="107"/>
      <c r="H551" s="107"/>
      <c r="I551" s="107"/>
      <c r="J551" s="107"/>
      <c r="K551" s="107"/>
      <c r="L551" s="107"/>
      <c r="M551" s="107"/>
      <c r="N551" s="107"/>
      <c r="O551" s="107"/>
      <c r="P551" s="107"/>
      <c r="Q551" s="107"/>
      <c r="R551" s="107"/>
      <c r="S551" s="107"/>
      <c r="T551" s="107"/>
      <c r="U551" s="107"/>
    </row>
    <row r="552" spans="1:21" x14ac:dyDescent="0.25">
      <c r="A552" s="107"/>
      <c r="B552" s="107"/>
      <c r="C552" s="107"/>
      <c r="D552" s="107"/>
      <c r="E552" s="107"/>
      <c r="F552" s="107"/>
      <c r="G552" s="107"/>
      <c r="H552" s="107"/>
      <c r="I552" s="107"/>
      <c r="J552" s="107"/>
      <c r="K552" s="107"/>
      <c r="L552" s="107"/>
      <c r="M552" s="107"/>
      <c r="N552" s="107"/>
      <c r="O552" s="107"/>
      <c r="P552" s="107"/>
      <c r="Q552" s="107"/>
      <c r="R552" s="107"/>
      <c r="S552" s="107"/>
      <c r="T552" s="107"/>
      <c r="U552" s="107"/>
    </row>
    <row r="553" spans="1:21" x14ac:dyDescent="0.25">
      <c r="A553" s="107"/>
      <c r="B553" s="107"/>
      <c r="C553" s="107"/>
      <c r="D553" s="107"/>
      <c r="E553" s="107"/>
      <c r="F553" s="107"/>
      <c r="G553" s="107"/>
      <c r="H553" s="107"/>
      <c r="I553" s="107"/>
      <c r="J553" s="107"/>
      <c r="K553" s="107"/>
      <c r="L553" s="107"/>
      <c r="M553" s="107"/>
      <c r="N553" s="107"/>
      <c r="O553" s="107"/>
      <c r="P553" s="107"/>
      <c r="Q553" s="107"/>
      <c r="R553" s="107"/>
      <c r="S553" s="107"/>
      <c r="T553" s="107"/>
      <c r="U553" s="107"/>
    </row>
    <row r="554" spans="1:21" x14ac:dyDescent="0.25">
      <c r="A554" s="107"/>
      <c r="B554" s="107"/>
      <c r="C554" s="107"/>
      <c r="D554" s="107"/>
      <c r="E554" s="107"/>
      <c r="F554" s="107"/>
      <c r="G554" s="107"/>
      <c r="H554" s="107"/>
      <c r="I554" s="107"/>
      <c r="J554" s="107"/>
      <c r="K554" s="107"/>
      <c r="L554" s="107"/>
      <c r="M554" s="107"/>
      <c r="N554" s="107"/>
      <c r="O554" s="107"/>
      <c r="P554" s="107"/>
      <c r="Q554" s="107"/>
      <c r="R554" s="107"/>
      <c r="S554" s="107"/>
      <c r="T554" s="107"/>
      <c r="U554" s="107"/>
    </row>
    <row r="555" spans="1:21" x14ac:dyDescent="0.25">
      <c r="A555" s="107"/>
      <c r="B555" s="107"/>
      <c r="C555" s="107"/>
      <c r="D555" s="107"/>
      <c r="E555" s="107"/>
      <c r="F555" s="107"/>
      <c r="G555" s="107"/>
      <c r="H555" s="107"/>
      <c r="I555" s="107"/>
      <c r="J555" s="107"/>
      <c r="K555" s="107"/>
      <c r="L555" s="107"/>
      <c r="M555" s="107"/>
      <c r="N555" s="107"/>
      <c r="O555" s="107"/>
      <c r="P555" s="107"/>
      <c r="Q555" s="107"/>
      <c r="R555" s="107"/>
      <c r="S555" s="107"/>
      <c r="T555" s="107"/>
      <c r="U555" s="107"/>
    </row>
    <row r="556" spans="1:21" x14ac:dyDescent="0.25">
      <c r="A556" s="107"/>
      <c r="B556" s="107"/>
      <c r="C556" s="107"/>
      <c r="D556" s="107"/>
      <c r="E556" s="107"/>
      <c r="F556" s="107"/>
      <c r="G556" s="107"/>
      <c r="H556" s="107"/>
      <c r="I556" s="107"/>
      <c r="J556" s="107"/>
      <c r="K556" s="107"/>
      <c r="L556" s="107"/>
      <c r="M556" s="107"/>
      <c r="N556" s="107"/>
      <c r="O556" s="107"/>
      <c r="P556" s="107"/>
      <c r="Q556" s="107"/>
      <c r="R556" s="107"/>
      <c r="S556" s="107"/>
      <c r="T556" s="107"/>
      <c r="U556" s="107"/>
    </row>
    <row r="557" spans="1:21" x14ac:dyDescent="0.25">
      <c r="A557" s="107"/>
      <c r="B557" s="107"/>
      <c r="C557" s="107"/>
      <c r="D557" s="107"/>
      <c r="E557" s="107"/>
      <c r="F557" s="107"/>
      <c r="G557" s="107"/>
      <c r="H557" s="107"/>
      <c r="I557" s="107"/>
      <c r="J557" s="107"/>
      <c r="K557" s="107"/>
      <c r="L557" s="107"/>
      <c r="M557" s="107"/>
      <c r="N557" s="107"/>
      <c r="O557" s="107"/>
      <c r="P557" s="107"/>
      <c r="Q557" s="107"/>
      <c r="R557" s="107"/>
      <c r="S557" s="107"/>
      <c r="T557" s="107"/>
      <c r="U557" s="107"/>
    </row>
    <row r="558" spans="1:21" x14ac:dyDescent="0.25">
      <c r="A558" s="107"/>
      <c r="B558" s="107"/>
      <c r="C558" s="107"/>
      <c r="D558" s="107"/>
      <c r="E558" s="107"/>
      <c r="F558" s="107"/>
      <c r="G558" s="107"/>
      <c r="H558" s="107"/>
      <c r="I558" s="107"/>
      <c r="J558" s="107"/>
      <c r="K558" s="107"/>
      <c r="L558" s="107"/>
      <c r="M558" s="107"/>
      <c r="N558" s="107"/>
      <c r="O558" s="107"/>
      <c r="P558" s="107"/>
      <c r="Q558" s="107"/>
      <c r="R558" s="107"/>
      <c r="S558" s="107"/>
      <c r="T558" s="107"/>
      <c r="U558" s="107"/>
    </row>
    <row r="559" spans="1:21" x14ac:dyDescent="0.25">
      <c r="A559" s="107"/>
      <c r="B559" s="107"/>
      <c r="C559" s="107"/>
      <c r="D559" s="107"/>
      <c r="E559" s="107"/>
      <c r="F559" s="107"/>
      <c r="G559" s="107"/>
      <c r="H559" s="107"/>
      <c r="I559" s="107"/>
      <c r="J559" s="107"/>
      <c r="K559" s="107"/>
      <c r="L559" s="107"/>
      <c r="M559" s="107"/>
      <c r="N559" s="107"/>
      <c r="O559" s="107"/>
      <c r="P559" s="107"/>
      <c r="Q559" s="107"/>
      <c r="R559" s="107"/>
      <c r="S559" s="107"/>
      <c r="T559" s="107"/>
      <c r="U559" s="107"/>
    </row>
    <row r="560" spans="1:21" x14ac:dyDescent="0.25">
      <c r="A560" s="107"/>
      <c r="B560" s="107"/>
      <c r="C560" s="107"/>
      <c r="D560" s="107"/>
      <c r="E560" s="107"/>
      <c r="F560" s="107"/>
      <c r="G560" s="107"/>
      <c r="H560" s="107"/>
      <c r="I560" s="107"/>
      <c r="J560" s="107"/>
      <c r="K560" s="107"/>
      <c r="L560" s="107"/>
      <c r="M560" s="107"/>
      <c r="N560" s="107"/>
      <c r="O560" s="107"/>
      <c r="P560" s="107"/>
      <c r="Q560" s="107"/>
      <c r="R560" s="107"/>
      <c r="S560" s="107"/>
      <c r="T560" s="107"/>
      <c r="U560" s="107"/>
    </row>
    <row r="561" spans="1:21" x14ac:dyDescent="0.25">
      <c r="A561" s="107"/>
      <c r="B561" s="107"/>
      <c r="C561" s="107"/>
      <c r="D561" s="107"/>
      <c r="E561" s="107"/>
      <c r="F561" s="107"/>
      <c r="G561" s="107"/>
      <c r="H561" s="107"/>
      <c r="I561" s="107"/>
      <c r="J561" s="107"/>
      <c r="K561" s="107"/>
      <c r="L561" s="107"/>
      <c r="M561" s="107"/>
      <c r="N561" s="107"/>
      <c r="O561" s="107"/>
      <c r="P561" s="107"/>
      <c r="Q561" s="107"/>
      <c r="R561" s="107"/>
      <c r="S561" s="107"/>
      <c r="T561" s="107"/>
      <c r="U561" s="107"/>
    </row>
    <row r="562" spans="1:21" x14ac:dyDescent="0.25">
      <c r="A562" s="107"/>
      <c r="B562" s="107"/>
      <c r="C562" s="107"/>
      <c r="D562" s="107"/>
      <c r="E562" s="107"/>
      <c r="F562" s="107"/>
      <c r="G562" s="107"/>
      <c r="H562" s="107"/>
      <c r="I562" s="107"/>
      <c r="J562" s="107"/>
      <c r="K562" s="107"/>
      <c r="L562" s="107"/>
      <c r="M562" s="107"/>
      <c r="N562" s="107"/>
      <c r="O562" s="107"/>
      <c r="P562" s="107"/>
      <c r="Q562" s="107"/>
      <c r="R562" s="107"/>
      <c r="S562" s="107"/>
      <c r="T562" s="107"/>
      <c r="U562" s="107"/>
    </row>
    <row r="563" spans="1:21" x14ac:dyDescent="0.25">
      <c r="A563" s="107"/>
      <c r="B563" s="107"/>
      <c r="C563" s="107"/>
      <c r="D563" s="107"/>
      <c r="E563" s="107"/>
      <c r="F563" s="107"/>
      <c r="G563" s="107"/>
      <c r="H563" s="107"/>
      <c r="I563" s="107"/>
      <c r="J563" s="107"/>
      <c r="K563" s="107"/>
      <c r="L563" s="107"/>
      <c r="M563" s="107"/>
      <c r="N563" s="107"/>
      <c r="O563" s="107"/>
      <c r="P563" s="107"/>
      <c r="Q563" s="107"/>
      <c r="R563" s="107"/>
      <c r="S563" s="107"/>
      <c r="T563" s="107"/>
      <c r="U563" s="107"/>
    </row>
    <row r="564" spans="1:21" x14ac:dyDescent="0.25">
      <c r="A564" s="107"/>
      <c r="B564" s="107"/>
      <c r="C564" s="107"/>
      <c r="D564" s="107"/>
      <c r="E564" s="107"/>
      <c r="F564" s="107"/>
      <c r="G564" s="107"/>
      <c r="H564" s="107"/>
      <c r="I564" s="107"/>
      <c r="J564" s="107"/>
      <c r="K564" s="107"/>
      <c r="L564" s="107"/>
      <c r="M564" s="107"/>
      <c r="N564" s="107"/>
      <c r="O564" s="107"/>
      <c r="P564" s="107"/>
      <c r="Q564" s="107"/>
      <c r="R564" s="107"/>
      <c r="S564" s="107"/>
      <c r="T564" s="107"/>
      <c r="U564" s="107"/>
    </row>
    <row r="565" spans="1:21" x14ac:dyDescent="0.25">
      <c r="A565" s="107"/>
      <c r="B565" s="107"/>
      <c r="C565" s="107"/>
      <c r="D565" s="107"/>
      <c r="E565" s="107"/>
      <c r="F565" s="107"/>
      <c r="G565" s="107"/>
      <c r="H565" s="107"/>
      <c r="I565" s="107"/>
      <c r="J565" s="107"/>
      <c r="K565" s="107"/>
      <c r="L565" s="107"/>
      <c r="M565" s="107"/>
      <c r="N565" s="107"/>
      <c r="O565" s="107"/>
      <c r="P565" s="107"/>
      <c r="Q565" s="107"/>
      <c r="R565" s="107"/>
      <c r="S565" s="107"/>
      <c r="T565" s="107"/>
      <c r="U565" s="107"/>
    </row>
    <row r="566" spans="1:21" x14ac:dyDescent="0.25">
      <c r="A566" s="107"/>
      <c r="B566" s="107"/>
      <c r="C566" s="107"/>
      <c r="D566" s="107"/>
      <c r="E566" s="107"/>
      <c r="F566" s="107"/>
      <c r="G566" s="107"/>
      <c r="H566" s="107"/>
      <c r="I566" s="107"/>
      <c r="J566" s="107"/>
      <c r="K566" s="107"/>
      <c r="L566" s="107"/>
      <c r="M566" s="107"/>
      <c r="N566" s="107"/>
      <c r="O566" s="107"/>
      <c r="P566" s="107"/>
      <c r="Q566" s="107"/>
      <c r="R566" s="107"/>
      <c r="S566" s="107"/>
      <c r="T566" s="107"/>
      <c r="U566" s="107"/>
    </row>
    <row r="567" spans="1:21" x14ac:dyDescent="0.25">
      <c r="A567" s="107"/>
      <c r="B567" s="107"/>
      <c r="C567" s="107"/>
      <c r="D567" s="107"/>
      <c r="E567" s="107"/>
      <c r="F567" s="107"/>
      <c r="G567" s="107"/>
      <c r="H567" s="107"/>
      <c r="I567" s="107"/>
      <c r="J567" s="107"/>
      <c r="K567" s="107"/>
      <c r="L567" s="107"/>
      <c r="M567" s="107"/>
      <c r="N567" s="107"/>
      <c r="O567" s="107"/>
      <c r="P567" s="107"/>
      <c r="Q567" s="107"/>
      <c r="R567" s="107"/>
      <c r="S567" s="107"/>
      <c r="T567" s="107"/>
      <c r="U567" s="107"/>
    </row>
    <row r="568" spans="1:21" x14ac:dyDescent="0.25">
      <c r="A568" s="107"/>
      <c r="B568" s="107"/>
      <c r="C568" s="107"/>
      <c r="D568" s="107"/>
      <c r="E568" s="107"/>
      <c r="F568" s="107"/>
      <c r="G568" s="107"/>
      <c r="H568" s="107"/>
      <c r="I568" s="107"/>
      <c r="J568" s="107"/>
      <c r="K568" s="107"/>
      <c r="L568" s="107"/>
      <c r="M568" s="107"/>
      <c r="N568" s="107"/>
      <c r="O568" s="107"/>
      <c r="P568" s="107"/>
      <c r="Q568" s="107"/>
      <c r="R568" s="107"/>
      <c r="S568" s="107"/>
      <c r="T568" s="107"/>
      <c r="U568" s="107"/>
    </row>
    <row r="569" spans="1:21" x14ac:dyDescent="0.25">
      <c r="A569" s="107"/>
      <c r="B569" s="107"/>
      <c r="C569" s="107"/>
      <c r="D569" s="107"/>
      <c r="E569" s="107"/>
      <c r="F569" s="107"/>
      <c r="G569" s="107"/>
      <c r="H569" s="107"/>
      <c r="I569" s="107"/>
      <c r="J569" s="107"/>
      <c r="K569" s="107"/>
      <c r="L569" s="107"/>
      <c r="M569" s="107"/>
      <c r="N569" s="107"/>
      <c r="O569" s="107"/>
      <c r="P569" s="107"/>
      <c r="Q569" s="107"/>
      <c r="R569" s="107"/>
      <c r="S569" s="107"/>
      <c r="T569" s="107"/>
      <c r="U569" s="107"/>
    </row>
    <row r="570" spans="1:21" x14ac:dyDescent="0.25">
      <c r="A570" s="107"/>
      <c r="B570" s="107"/>
      <c r="C570" s="107"/>
      <c r="D570" s="107"/>
      <c r="E570" s="107"/>
      <c r="F570" s="107"/>
      <c r="G570" s="107"/>
      <c r="H570" s="107"/>
      <c r="I570" s="107"/>
      <c r="J570" s="107"/>
      <c r="K570" s="107"/>
      <c r="L570" s="107"/>
      <c r="M570" s="107"/>
      <c r="N570" s="107"/>
      <c r="O570" s="107"/>
      <c r="P570" s="107"/>
      <c r="Q570" s="107"/>
      <c r="R570" s="107"/>
      <c r="S570" s="107"/>
      <c r="T570" s="107"/>
      <c r="U570" s="107"/>
    </row>
    <row r="571" spans="1:21" x14ac:dyDescent="0.25">
      <c r="A571" s="107"/>
      <c r="B571" s="107"/>
      <c r="C571" s="107"/>
      <c r="D571" s="107"/>
      <c r="E571" s="107"/>
      <c r="F571" s="107"/>
      <c r="G571" s="107"/>
      <c r="H571" s="107"/>
      <c r="I571" s="107"/>
      <c r="J571" s="107"/>
      <c r="K571" s="107"/>
      <c r="L571" s="107"/>
      <c r="M571" s="107"/>
      <c r="N571" s="107"/>
      <c r="O571" s="107"/>
      <c r="P571" s="107"/>
      <c r="Q571" s="107"/>
      <c r="R571" s="107"/>
      <c r="S571" s="107"/>
      <c r="T571" s="107"/>
      <c r="U571" s="107"/>
    </row>
    <row r="572" spans="1:21" x14ac:dyDescent="0.25">
      <c r="A572" s="107"/>
      <c r="B572" s="107"/>
      <c r="C572" s="107"/>
      <c r="D572" s="107"/>
      <c r="E572" s="107"/>
      <c r="F572" s="107"/>
      <c r="G572" s="107"/>
      <c r="H572" s="107"/>
      <c r="I572" s="107"/>
      <c r="J572" s="107"/>
      <c r="K572" s="107"/>
      <c r="L572" s="107"/>
      <c r="M572" s="107"/>
      <c r="N572" s="107"/>
      <c r="O572" s="107"/>
      <c r="P572" s="107"/>
      <c r="Q572" s="107"/>
      <c r="R572" s="107"/>
      <c r="S572" s="107"/>
      <c r="T572" s="107"/>
      <c r="U572" s="107"/>
    </row>
    <row r="573" spans="1:21" x14ac:dyDescent="0.25">
      <c r="A573" s="107"/>
      <c r="B573" s="107"/>
      <c r="C573" s="107"/>
      <c r="D573" s="107"/>
      <c r="E573" s="107"/>
      <c r="F573" s="107"/>
      <c r="G573" s="107"/>
      <c r="H573" s="107"/>
      <c r="I573" s="107"/>
      <c r="J573" s="107"/>
      <c r="K573" s="107"/>
      <c r="L573" s="107"/>
      <c r="M573" s="107"/>
      <c r="N573" s="107"/>
      <c r="O573" s="107"/>
      <c r="P573" s="107"/>
      <c r="Q573" s="107"/>
      <c r="R573" s="107"/>
      <c r="S573" s="107"/>
      <c r="T573" s="107"/>
      <c r="U573" s="107"/>
    </row>
    <row r="574" spans="1:21" x14ac:dyDescent="0.25">
      <c r="A574" s="107"/>
      <c r="B574" s="107"/>
      <c r="C574" s="107"/>
      <c r="D574" s="107"/>
      <c r="E574" s="107"/>
      <c r="F574" s="107"/>
      <c r="G574" s="107"/>
      <c r="H574" s="107"/>
      <c r="I574" s="107"/>
      <c r="J574" s="107"/>
      <c r="K574" s="107"/>
      <c r="L574" s="107"/>
      <c r="M574" s="107"/>
      <c r="N574" s="107"/>
      <c r="O574" s="107"/>
      <c r="P574" s="107"/>
      <c r="Q574" s="107"/>
      <c r="R574" s="107"/>
      <c r="S574" s="107"/>
      <c r="T574" s="107"/>
      <c r="U574" s="107"/>
    </row>
    <row r="575" spans="1:21" x14ac:dyDescent="0.25">
      <c r="A575" s="107"/>
      <c r="B575" s="107"/>
      <c r="C575" s="107"/>
      <c r="D575" s="107"/>
      <c r="E575" s="107"/>
      <c r="F575" s="107"/>
      <c r="G575" s="107"/>
      <c r="H575" s="107"/>
      <c r="I575" s="107"/>
      <c r="J575" s="107"/>
      <c r="K575" s="107"/>
      <c r="L575" s="107"/>
      <c r="M575" s="107"/>
      <c r="N575" s="107"/>
      <c r="O575" s="107"/>
      <c r="P575" s="107"/>
      <c r="Q575" s="107"/>
      <c r="R575" s="107"/>
      <c r="S575" s="107"/>
      <c r="T575" s="107"/>
      <c r="U575" s="107"/>
    </row>
    <row r="576" spans="1:21" x14ac:dyDescent="0.25">
      <c r="A576" s="107"/>
      <c r="B576" s="107"/>
      <c r="C576" s="107"/>
      <c r="D576" s="107"/>
      <c r="E576" s="107"/>
      <c r="F576" s="107"/>
      <c r="G576" s="107"/>
      <c r="H576" s="107"/>
      <c r="I576" s="107"/>
      <c r="J576" s="107"/>
      <c r="K576" s="107"/>
      <c r="L576" s="107"/>
      <c r="M576" s="107"/>
      <c r="N576" s="107"/>
      <c r="O576" s="107"/>
      <c r="P576" s="107"/>
      <c r="Q576" s="107"/>
      <c r="R576" s="107"/>
      <c r="S576" s="107"/>
      <c r="T576" s="107"/>
      <c r="U576" s="107"/>
    </row>
    <row r="577" spans="1:21" x14ac:dyDescent="0.25">
      <c r="A577" s="107"/>
      <c r="B577" s="107"/>
      <c r="C577" s="107"/>
      <c r="D577" s="107"/>
      <c r="E577" s="107"/>
      <c r="F577" s="107"/>
      <c r="G577" s="107"/>
      <c r="H577" s="107"/>
      <c r="I577" s="107"/>
      <c r="J577" s="107"/>
      <c r="K577" s="107"/>
      <c r="L577" s="107"/>
      <c r="M577" s="107"/>
      <c r="N577" s="107"/>
      <c r="O577" s="107"/>
      <c r="P577" s="107"/>
      <c r="Q577" s="107"/>
      <c r="R577" s="107"/>
      <c r="S577" s="107"/>
      <c r="T577" s="107"/>
      <c r="U577" s="107"/>
    </row>
    <row r="578" spans="1:21" x14ac:dyDescent="0.25">
      <c r="A578" s="107"/>
      <c r="B578" s="107"/>
      <c r="C578" s="107"/>
      <c r="D578" s="107"/>
      <c r="E578" s="107"/>
      <c r="F578" s="107"/>
      <c r="G578" s="107"/>
      <c r="H578" s="107"/>
      <c r="I578" s="107"/>
      <c r="J578" s="107"/>
      <c r="K578" s="107"/>
      <c r="L578" s="107"/>
      <c r="M578" s="107"/>
      <c r="N578" s="107"/>
      <c r="O578" s="107"/>
      <c r="P578" s="107"/>
      <c r="Q578" s="107"/>
      <c r="R578" s="107"/>
      <c r="S578" s="107"/>
      <c r="T578" s="107"/>
      <c r="U578" s="107"/>
    </row>
    <row r="579" spans="1:21" x14ac:dyDescent="0.25">
      <c r="A579" s="107"/>
      <c r="B579" s="107"/>
      <c r="C579" s="107"/>
      <c r="D579" s="107"/>
      <c r="E579" s="107"/>
      <c r="F579" s="107"/>
      <c r="G579" s="107"/>
      <c r="H579" s="107"/>
      <c r="I579" s="107"/>
      <c r="J579" s="107"/>
      <c r="K579" s="107"/>
      <c r="L579" s="107"/>
      <c r="M579" s="107"/>
      <c r="N579" s="107"/>
      <c r="O579" s="107"/>
      <c r="P579" s="107"/>
      <c r="Q579" s="107"/>
      <c r="R579" s="107"/>
      <c r="S579" s="107"/>
      <c r="T579" s="107"/>
      <c r="U579" s="107"/>
    </row>
    <row r="580" spans="1:21" x14ac:dyDescent="0.25">
      <c r="A580" s="107"/>
      <c r="B580" s="107"/>
      <c r="C580" s="107"/>
      <c r="D580" s="107"/>
      <c r="E580" s="107"/>
      <c r="F580" s="107"/>
      <c r="G580" s="107"/>
      <c r="H580" s="107"/>
      <c r="I580" s="107"/>
      <c r="J580" s="107"/>
      <c r="K580" s="107"/>
      <c r="L580" s="107"/>
      <c r="M580" s="107"/>
      <c r="N580" s="107"/>
      <c r="O580" s="107"/>
      <c r="P580" s="107"/>
      <c r="Q580" s="107"/>
      <c r="R580" s="107"/>
      <c r="S580" s="107"/>
      <c r="T580" s="107"/>
      <c r="U580" s="107"/>
    </row>
    <row r="581" spans="1:21" x14ac:dyDescent="0.25">
      <c r="A581" s="107"/>
      <c r="B581" s="107"/>
      <c r="C581" s="107"/>
      <c r="D581" s="107"/>
      <c r="E581" s="107"/>
      <c r="F581" s="107"/>
      <c r="G581" s="107"/>
      <c r="H581" s="107"/>
      <c r="I581" s="107"/>
      <c r="J581" s="107"/>
      <c r="K581" s="107"/>
      <c r="L581" s="107"/>
      <c r="M581" s="107"/>
      <c r="N581" s="107"/>
      <c r="O581" s="107"/>
      <c r="P581" s="107"/>
      <c r="Q581" s="107"/>
      <c r="R581" s="107"/>
      <c r="S581" s="107"/>
      <c r="T581" s="107"/>
      <c r="U581" s="107"/>
    </row>
    <row r="582" spans="1:21" x14ac:dyDescent="0.25">
      <c r="A582" s="107"/>
      <c r="B582" s="107"/>
      <c r="C582" s="107"/>
      <c r="D582" s="107"/>
      <c r="E582" s="107"/>
      <c r="F582" s="107"/>
      <c r="G582" s="107"/>
      <c r="H582" s="107"/>
      <c r="I582" s="107"/>
      <c r="J582" s="107"/>
      <c r="K582" s="107"/>
      <c r="L582" s="107"/>
      <c r="M582" s="107"/>
      <c r="N582" s="107"/>
      <c r="O582" s="107"/>
      <c r="P582" s="107"/>
      <c r="Q582" s="107"/>
      <c r="R582" s="107"/>
      <c r="S582" s="107"/>
      <c r="T582" s="107"/>
      <c r="U582" s="107"/>
    </row>
    <row r="583" spans="1:21" x14ac:dyDescent="0.25">
      <c r="A583" s="107"/>
      <c r="B583" s="107"/>
      <c r="C583" s="107"/>
      <c r="D583" s="107"/>
      <c r="E583" s="107"/>
      <c r="F583" s="107"/>
      <c r="G583" s="107"/>
      <c r="H583" s="107"/>
      <c r="I583" s="107"/>
      <c r="J583" s="107"/>
      <c r="K583" s="107"/>
      <c r="L583" s="107"/>
      <c r="M583" s="107"/>
      <c r="N583" s="107"/>
      <c r="O583" s="107"/>
      <c r="P583" s="107"/>
      <c r="Q583" s="107"/>
      <c r="R583" s="107"/>
      <c r="S583" s="107"/>
      <c r="T583" s="107"/>
      <c r="U583" s="107"/>
    </row>
    <row r="584" spans="1:21" x14ac:dyDescent="0.25">
      <c r="A584" s="107"/>
      <c r="B584" s="107"/>
      <c r="C584" s="107"/>
      <c r="D584" s="107"/>
      <c r="E584" s="107"/>
      <c r="F584" s="107"/>
      <c r="G584" s="107"/>
      <c r="H584" s="107"/>
      <c r="I584" s="107"/>
      <c r="J584" s="107"/>
      <c r="K584" s="107"/>
      <c r="L584" s="107"/>
      <c r="M584" s="107"/>
      <c r="N584" s="107"/>
      <c r="O584" s="107"/>
      <c r="P584" s="107"/>
      <c r="Q584" s="107"/>
      <c r="R584" s="107"/>
      <c r="S584" s="107"/>
      <c r="T584" s="107"/>
      <c r="U584" s="107"/>
    </row>
    <row r="585" spans="1:21" x14ac:dyDescent="0.25">
      <c r="A585" s="107"/>
      <c r="B585" s="107"/>
      <c r="C585" s="107"/>
      <c r="D585" s="107"/>
      <c r="E585" s="107"/>
      <c r="F585" s="107"/>
      <c r="G585" s="107"/>
      <c r="H585" s="107"/>
      <c r="I585" s="107"/>
      <c r="J585" s="107"/>
      <c r="K585" s="107"/>
      <c r="L585" s="107"/>
      <c r="M585" s="107"/>
      <c r="N585" s="107"/>
      <c r="O585" s="107"/>
      <c r="P585" s="107"/>
      <c r="Q585" s="107"/>
      <c r="R585" s="107"/>
      <c r="S585" s="107"/>
      <c r="T585" s="107"/>
      <c r="U585" s="107"/>
    </row>
    <row r="586" spans="1:21" x14ac:dyDescent="0.25">
      <c r="A586" s="107"/>
      <c r="B586" s="107"/>
      <c r="C586" s="107"/>
      <c r="D586" s="107"/>
      <c r="E586" s="107"/>
      <c r="F586" s="107"/>
      <c r="G586" s="107"/>
      <c r="H586" s="107"/>
      <c r="I586" s="107"/>
      <c r="J586" s="107"/>
      <c r="K586" s="107"/>
      <c r="L586" s="107"/>
      <c r="M586" s="107"/>
      <c r="N586" s="107"/>
      <c r="O586" s="107"/>
      <c r="P586" s="107"/>
      <c r="Q586" s="107"/>
      <c r="R586" s="107"/>
      <c r="S586" s="107"/>
      <c r="T586" s="107"/>
      <c r="U586" s="107"/>
    </row>
    <row r="587" spans="1:21" x14ac:dyDescent="0.25">
      <c r="A587" s="107"/>
      <c r="B587" s="107"/>
      <c r="C587" s="107"/>
      <c r="D587" s="107"/>
      <c r="E587" s="107"/>
      <c r="F587" s="107"/>
      <c r="G587" s="107"/>
      <c r="H587" s="107"/>
      <c r="I587" s="107"/>
      <c r="J587" s="107"/>
      <c r="K587" s="107"/>
      <c r="L587" s="107"/>
      <c r="M587" s="107"/>
      <c r="N587" s="107"/>
      <c r="O587" s="107"/>
      <c r="P587" s="107"/>
      <c r="Q587" s="107"/>
      <c r="R587" s="107"/>
      <c r="S587" s="107"/>
      <c r="T587" s="107"/>
      <c r="U587" s="107"/>
    </row>
    <row r="588" spans="1:21" x14ac:dyDescent="0.25">
      <c r="A588" s="107"/>
      <c r="B588" s="107"/>
      <c r="C588" s="107"/>
      <c r="D588" s="107"/>
      <c r="E588" s="107"/>
      <c r="F588" s="107"/>
      <c r="G588" s="107"/>
      <c r="H588" s="107"/>
      <c r="I588" s="107"/>
      <c r="J588" s="107"/>
      <c r="K588" s="107"/>
      <c r="L588" s="107"/>
      <c r="M588" s="107"/>
      <c r="N588" s="107"/>
      <c r="O588" s="107"/>
      <c r="P588" s="107"/>
      <c r="Q588" s="107"/>
      <c r="R588" s="107"/>
      <c r="S588" s="107"/>
      <c r="T588" s="107"/>
      <c r="U588" s="107"/>
    </row>
    <row r="589" spans="1:21" x14ac:dyDescent="0.25">
      <c r="A589" s="107"/>
      <c r="B589" s="107"/>
      <c r="C589" s="107"/>
      <c r="D589" s="107"/>
      <c r="E589" s="107"/>
      <c r="F589" s="107"/>
      <c r="G589" s="107"/>
      <c r="H589" s="107"/>
      <c r="I589" s="107"/>
      <c r="J589" s="107"/>
      <c r="K589" s="107"/>
      <c r="L589" s="107"/>
      <c r="M589" s="107"/>
      <c r="N589" s="107"/>
      <c r="O589" s="107"/>
      <c r="P589" s="107"/>
      <c r="Q589" s="107"/>
      <c r="R589" s="107"/>
      <c r="S589" s="107"/>
      <c r="T589" s="107"/>
      <c r="U589" s="107"/>
    </row>
    <row r="590" spans="1:21" x14ac:dyDescent="0.25">
      <c r="A590" s="107"/>
      <c r="B590" s="107"/>
      <c r="C590" s="107"/>
      <c r="D590" s="107"/>
      <c r="E590" s="107"/>
      <c r="F590" s="107"/>
      <c r="G590" s="107"/>
      <c r="H590" s="107"/>
      <c r="I590" s="107"/>
      <c r="J590" s="107"/>
      <c r="K590" s="107"/>
      <c r="L590" s="107"/>
      <c r="M590" s="107"/>
      <c r="N590" s="107"/>
      <c r="O590" s="107"/>
      <c r="P590" s="107"/>
      <c r="Q590" s="107"/>
      <c r="R590" s="107"/>
      <c r="S590" s="107"/>
      <c r="T590" s="107"/>
      <c r="U590" s="107"/>
    </row>
    <row r="591" spans="1:21" x14ac:dyDescent="0.25">
      <c r="A591" s="107"/>
      <c r="B591" s="107"/>
      <c r="C591" s="107"/>
      <c r="D591" s="107"/>
      <c r="E591" s="107"/>
      <c r="F591" s="107"/>
      <c r="G591" s="107"/>
      <c r="H591" s="107"/>
      <c r="I591" s="107"/>
      <c r="J591" s="107"/>
      <c r="K591" s="107"/>
      <c r="L591" s="107"/>
      <c r="M591" s="107"/>
      <c r="N591" s="107"/>
      <c r="O591" s="107"/>
      <c r="P591" s="107"/>
      <c r="Q591" s="107"/>
      <c r="R591" s="107"/>
      <c r="S591" s="107"/>
      <c r="T591" s="107"/>
      <c r="U591" s="107"/>
    </row>
    <row r="592" spans="1:21" x14ac:dyDescent="0.25">
      <c r="A592" s="107"/>
      <c r="B592" s="107"/>
      <c r="C592" s="107"/>
      <c r="D592" s="107"/>
      <c r="E592" s="107"/>
      <c r="F592" s="107"/>
      <c r="G592" s="107"/>
      <c r="H592" s="107"/>
      <c r="I592" s="107"/>
      <c r="J592" s="107"/>
      <c r="K592" s="107"/>
      <c r="L592" s="107"/>
      <c r="M592" s="107"/>
      <c r="N592" s="107"/>
      <c r="O592" s="107"/>
      <c r="P592" s="107"/>
      <c r="Q592" s="107"/>
      <c r="R592" s="107"/>
      <c r="S592" s="107"/>
      <c r="T592" s="107"/>
      <c r="U592" s="107"/>
    </row>
    <row r="593" spans="1:21" x14ac:dyDescent="0.25">
      <c r="A593" s="107"/>
      <c r="B593" s="107"/>
      <c r="C593" s="107"/>
      <c r="D593" s="107"/>
      <c r="E593" s="107"/>
      <c r="F593" s="107"/>
      <c r="G593" s="107"/>
      <c r="H593" s="107"/>
      <c r="I593" s="107"/>
      <c r="J593" s="107"/>
      <c r="K593" s="107"/>
      <c r="L593" s="107"/>
      <c r="M593" s="107"/>
      <c r="N593" s="107"/>
      <c r="O593" s="107"/>
      <c r="P593" s="107"/>
      <c r="Q593" s="107"/>
      <c r="R593" s="107"/>
      <c r="S593" s="107"/>
      <c r="T593" s="107"/>
      <c r="U593" s="107"/>
    </row>
    <row r="594" spans="1:21" x14ac:dyDescent="0.25">
      <c r="A594" s="107"/>
      <c r="B594" s="107"/>
      <c r="C594" s="107"/>
      <c r="D594" s="107"/>
      <c r="E594" s="107"/>
      <c r="F594" s="107"/>
      <c r="G594" s="107"/>
      <c r="H594" s="107"/>
      <c r="I594" s="107"/>
      <c r="J594" s="107"/>
      <c r="K594" s="107"/>
      <c r="L594" s="107"/>
      <c r="M594" s="107"/>
      <c r="N594" s="107"/>
      <c r="O594" s="107"/>
      <c r="P594" s="107"/>
      <c r="Q594" s="107"/>
      <c r="R594" s="107"/>
      <c r="S594" s="107"/>
      <c r="T594" s="107"/>
      <c r="U594" s="107"/>
    </row>
    <row r="595" spans="1:21" x14ac:dyDescent="0.25">
      <c r="A595" s="107"/>
      <c r="B595" s="107"/>
      <c r="C595" s="107"/>
      <c r="D595" s="107"/>
      <c r="E595" s="107"/>
      <c r="F595" s="107"/>
      <c r="G595" s="107"/>
      <c r="H595" s="107"/>
      <c r="I595" s="107"/>
      <c r="J595" s="107"/>
      <c r="K595" s="107"/>
      <c r="L595" s="107"/>
      <c r="M595" s="107"/>
      <c r="N595" s="107"/>
      <c r="O595" s="107"/>
      <c r="P595" s="107"/>
      <c r="Q595" s="107"/>
      <c r="R595" s="107"/>
      <c r="S595" s="107"/>
      <c r="T595" s="107"/>
      <c r="U595" s="107"/>
    </row>
    <row r="596" spans="1:21" x14ac:dyDescent="0.25">
      <c r="A596" s="107"/>
      <c r="B596" s="107"/>
      <c r="C596" s="107"/>
      <c r="D596" s="107"/>
      <c r="E596" s="107"/>
      <c r="F596" s="107"/>
      <c r="G596" s="107"/>
      <c r="H596" s="107"/>
      <c r="I596" s="107"/>
      <c r="J596" s="107"/>
      <c r="K596" s="107"/>
      <c r="L596" s="107"/>
      <c r="M596" s="107"/>
      <c r="N596" s="107"/>
      <c r="O596" s="107"/>
      <c r="P596" s="107"/>
      <c r="Q596" s="107"/>
      <c r="R596" s="107"/>
      <c r="S596" s="107"/>
      <c r="T596" s="107"/>
      <c r="U596" s="107"/>
    </row>
    <row r="597" spans="1:21" x14ac:dyDescent="0.25">
      <c r="A597" s="107"/>
      <c r="B597" s="107"/>
      <c r="C597" s="107"/>
      <c r="D597" s="107"/>
      <c r="E597" s="107"/>
      <c r="F597" s="107"/>
      <c r="G597" s="107"/>
      <c r="H597" s="107"/>
      <c r="I597" s="107"/>
      <c r="J597" s="107"/>
      <c r="K597" s="107"/>
      <c r="L597" s="107"/>
      <c r="M597" s="107"/>
      <c r="N597" s="107"/>
      <c r="O597" s="107"/>
      <c r="P597" s="107"/>
      <c r="Q597" s="107"/>
      <c r="R597" s="107"/>
      <c r="S597" s="107"/>
      <c r="T597" s="107"/>
      <c r="U597" s="107"/>
    </row>
    <row r="598" spans="1:21" x14ac:dyDescent="0.25">
      <c r="A598" s="107"/>
      <c r="B598" s="107"/>
      <c r="C598" s="107"/>
      <c r="D598" s="107"/>
      <c r="E598" s="107"/>
      <c r="F598" s="107"/>
      <c r="G598" s="107"/>
      <c r="H598" s="107"/>
      <c r="I598" s="107"/>
      <c r="J598" s="107"/>
      <c r="K598" s="107"/>
      <c r="L598" s="107"/>
      <c r="M598" s="107"/>
      <c r="N598" s="107"/>
      <c r="O598" s="107"/>
      <c r="P598" s="107"/>
      <c r="Q598" s="107"/>
      <c r="R598" s="107"/>
      <c r="S598" s="107"/>
      <c r="T598" s="107"/>
      <c r="U598" s="107"/>
    </row>
    <row r="599" spans="1:21" x14ac:dyDescent="0.25">
      <c r="A599" s="107"/>
      <c r="B599" s="107"/>
      <c r="C599" s="107"/>
      <c r="D599" s="107"/>
      <c r="E599" s="107"/>
      <c r="F599" s="107"/>
      <c r="G599" s="107"/>
      <c r="H599" s="107"/>
      <c r="I599" s="107"/>
      <c r="J599" s="107"/>
      <c r="K599" s="107"/>
      <c r="L599" s="107"/>
      <c r="M599" s="107"/>
      <c r="N599" s="107"/>
      <c r="O599" s="107"/>
      <c r="P599" s="107"/>
      <c r="Q599" s="107"/>
      <c r="R599" s="107"/>
      <c r="S599" s="107"/>
      <c r="T599" s="107"/>
      <c r="U599" s="107"/>
    </row>
    <row r="600" spans="1:21" x14ac:dyDescent="0.25">
      <c r="A600" s="107"/>
      <c r="B600" s="107"/>
      <c r="C600" s="107"/>
      <c r="D600" s="107"/>
      <c r="E600" s="107"/>
      <c r="F600" s="107"/>
      <c r="G600" s="107"/>
      <c r="H600" s="107"/>
      <c r="I600" s="107"/>
      <c r="J600" s="107"/>
      <c r="K600" s="107"/>
      <c r="L600" s="107"/>
      <c r="M600" s="107"/>
      <c r="N600" s="107"/>
      <c r="O600" s="107"/>
      <c r="P600" s="107"/>
      <c r="Q600" s="107"/>
      <c r="R600" s="107"/>
      <c r="S600" s="107"/>
      <c r="T600" s="107"/>
      <c r="U600" s="107"/>
    </row>
    <row r="601" spans="1:21" x14ac:dyDescent="0.25">
      <c r="A601" s="107"/>
      <c r="B601" s="107"/>
      <c r="C601" s="107"/>
      <c r="D601" s="107"/>
      <c r="E601" s="107"/>
      <c r="F601" s="107"/>
      <c r="G601" s="107"/>
      <c r="H601" s="107"/>
      <c r="I601" s="107"/>
      <c r="J601" s="107"/>
      <c r="K601" s="107"/>
      <c r="L601" s="107"/>
      <c r="M601" s="107"/>
      <c r="N601" s="107"/>
      <c r="O601" s="107"/>
      <c r="P601" s="107"/>
      <c r="Q601" s="107"/>
      <c r="R601" s="107"/>
      <c r="S601" s="107"/>
      <c r="T601" s="107"/>
      <c r="U601" s="107"/>
    </row>
    <row r="602" spans="1:21" x14ac:dyDescent="0.25">
      <c r="A602" s="107"/>
      <c r="B602" s="107"/>
      <c r="C602" s="107"/>
      <c r="D602" s="107"/>
      <c r="E602" s="107"/>
      <c r="F602" s="107"/>
      <c r="G602" s="107"/>
      <c r="H602" s="107"/>
      <c r="I602" s="107"/>
      <c r="J602" s="107"/>
      <c r="K602" s="107"/>
      <c r="L602" s="107"/>
      <c r="M602" s="107"/>
      <c r="N602" s="107"/>
      <c r="O602" s="107"/>
      <c r="P602" s="107"/>
      <c r="Q602" s="107"/>
      <c r="R602" s="107"/>
      <c r="S602" s="107"/>
      <c r="T602" s="107"/>
      <c r="U602" s="107"/>
    </row>
    <row r="603" spans="1:21" x14ac:dyDescent="0.25">
      <c r="A603" s="107"/>
      <c r="B603" s="107"/>
      <c r="C603" s="107"/>
      <c r="D603" s="107"/>
      <c r="E603" s="107"/>
      <c r="F603" s="107"/>
      <c r="G603" s="107"/>
      <c r="H603" s="107"/>
      <c r="I603" s="107"/>
      <c r="J603" s="107"/>
      <c r="K603" s="107"/>
      <c r="L603" s="107"/>
      <c r="M603" s="107"/>
      <c r="N603" s="107"/>
      <c r="O603" s="107"/>
      <c r="P603" s="107"/>
      <c r="Q603" s="107"/>
      <c r="R603" s="107"/>
      <c r="S603" s="107"/>
      <c r="T603" s="107"/>
      <c r="U603" s="107"/>
    </row>
    <row r="604" spans="1:21" x14ac:dyDescent="0.25">
      <c r="A604" s="107"/>
      <c r="B604" s="107"/>
      <c r="C604" s="107"/>
      <c r="D604" s="107"/>
      <c r="E604" s="107"/>
      <c r="F604" s="107"/>
      <c r="G604" s="107"/>
      <c r="H604" s="107"/>
      <c r="I604" s="107"/>
      <c r="J604" s="107"/>
      <c r="K604" s="107"/>
      <c r="L604" s="107"/>
      <c r="M604" s="107"/>
      <c r="N604" s="107"/>
      <c r="O604" s="107"/>
      <c r="P604" s="107"/>
      <c r="Q604" s="107"/>
      <c r="R604" s="107"/>
      <c r="S604" s="107"/>
      <c r="T604" s="107"/>
      <c r="U604" s="107"/>
    </row>
    <row r="605" spans="1:21" x14ac:dyDescent="0.25">
      <c r="A605" s="107"/>
      <c r="B605" s="107"/>
      <c r="C605" s="107"/>
      <c r="D605" s="107"/>
      <c r="E605" s="107"/>
      <c r="F605" s="107"/>
      <c r="G605" s="107"/>
      <c r="H605" s="107"/>
      <c r="I605" s="107"/>
      <c r="J605" s="107"/>
      <c r="K605" s="107"/>
      <c r="L605" s="107"/>
      <c r="M605" s="107"/>
      <c r="N605" s="107"/>
      <c r="O605" s="107"/>
      <c r="P605" s="107"/>
      <c r="Q605" s="107"/>
      <c r="R605" s="107"/>
      <c r="S605" s="107"/>
      <c r="T605" s="107"/>
      <c r="U605" s="107"/>
    </row>
    <row r="606" spans="1:21" x14ac:dyDescent="0.25">
      <c r="A606" s="107"/>
      <c r="B606" s="107"/>
      <c r="C606" s="107"/>
      <c r="D606" s="107"/>
      <c r="E606" s="107"/>
      <c r="F606" s="107"/>
      <c r="G606" s="107"/>
      <c r="H606" s="107"/>
      <c r="I606" s="107"/>
      <c r="J606" s="107"/>
      <c r="K606" s="107"/>
      <c r="L606" s="107"/>
      <c r="M606" s="107"/>
      <c r="N606" s="107"/>
      <c r="O606" s="107"/>
      <c r="P606" s="107"/>
      <c r="Q606" s="107"/>
      <c r="R606" s="107"/>
      <c r="S606" s="107"/>
      <c r="T606" s="107"/>
      <c r="U606" s="107"/>
    </row>
    <row r="607" spans="1:21" x14ac:dyDescent="0.25">
      <c r="A607" s="107"/>
      <c r="B607" s="107"/>
      <c r="C607" s="107"/>
      <c r="D607" s="107"/>
      <c r="E607" s="107"/>
      <c r="F607" s="107"/>
      <c r="G607" s="107"/>
      <c r="H607" s="107"/>
      <c r="I607" s="107"/>
      <c r="J607" s="107"/>
      <c r="K607" s="107"/>
      <c r="L607" s="107"/>
      <c r="M607" s="107"/>
      <c r="N607" s="107"/>
      <c r="O607" s="107"/>
      <c r="P607" s="107"/>
      <c r="Q607" s="107"/>
      <c r="R607" s="107"/>
      <c r="S607" s="107"/>
      <c r="T607" s="107"/>
      <c r="U607" s="107"/>
    </row>
    <row r="608" spans="1:21" x14ac:dyDescent="0.25">
      <c r="A608" s="107"/>
      <c r="B608" s="107"/>
      <c r="C608" s="107"/>
      <c r="D608" s="107"/>
      <c r="E608" s="107"/>
      <c r="F608" s="107"/>
      <c r="G608" s="107"/>
      <c r="H608" s="107"/>
      <c r="I608" s="107"/>
      <c r="J608" s="107"/>
      <c r="K608" s="107"/>
      <c r="L608" s="107"/>
      <c r="M608" s="107"/>
      <c r="N608" s="107"/>
      <c r="O608" s="107"/>
      <c r="P608" s="107"/>
      <c r="Q608" s="107"/>
      <c r="R608" s="107"/>
      <c r="S608" s="107"/>
      <c r="T608" s="107"/>
      <c r="U608" s="107"/>
    </row>
    <row r="609" spans="1:21" x14ac:dyDescent="0.25">
      <c r="A609" s="107"/>
      <c r="B609" s="107"/>
      <c r="C609" s="107"/>
      <c r="D609" s="107"/>
      <c r="E609" s="107"/>
      <c r="F609" s="107"/>
      <c r="G609" s="107"/>
      <c r="H609" s="107"/>
      <c r="I609" s="107"/>
      <c r="J609" s="107"/>
      <c r="K609" s="107"/>
      <c r="L609" s="107"/>
      <c r="M609" s="107"/>
      <c r="N609" s="107"/>
      <c r="O609" s="107"/>
      <c r="P609" s="107"/>
      <c r="Q609" s="107"/>
      <c r="R609" s="107"/>
      <c r="S609" s="107"/>
      <c r="T609" s="107"/>
      <c r="U609" s="107"/>
    </row>
    <row r="610" spans="1:21" x14ac:dyDescent="0.25">
      <c r="A610" s="107"/>
      <c r="B610" s="107"/>
      <c r="C610" s="107"/>
      <c r="D610" s="107"/>
      <c r="E610" s="107"/>
      <c r="F610" s="107"/>
      <c r="G610" s="107"/>
      <c r="H610" s="107"/>
      <c r="I610" s="107"/>
      <c r="J610" s="107"/>
      <c r="K610" s="107"/>
      <c r="L610" s="107"/>
      <c r="M610" s="107"/>
      <c r="N610" s="107"/>
      <c r="O610" s="107"/>
      <c r="P610" s="107"/>
      <c r="Q610" s="107"/>
      <c r="R610" s="107"/>
      <c r="S610" s="107"/>
      <c r="T610" s="107"/>
      <c r="U610" s="107"/>
    </row>
    <row r="611" spans="1:21" x14ac:dyDescent="0.25">
      <c r="A611" s="107"/>
      <c r="B611" s="107"/>
      <c r="C611" s="107"/>
      <c r="D611" s="107"/>
      <c r="E611" s="107"/>
      <c r="F611" s="107"/>
      <c r="G611" s="107"/>
      <c r="H611" s="107"/>
      <c r="I611" s="107"/>
      <c r="J611" s="107"/>
      <c r="K611" s="107"/>
      <c r="L611" s="107"/>
      <c r="M611" s="107"/>
      <c r="N611" s="107"/>
      <c r="O611" s="107"/>
      <c r="P611" s="107"/>
      <c r="Q611" s="107"/>
      <c r="R611" s="107"/>
      <c r="S611" s="107"/>
      <c r="T611" s="107"/>
      <c r="U611" s="107"/>
    </row>
    <row r="612" spans="1:21" x14ac:dyDescent="0.25">
      <c r="A612" s="107"/>
      <c r="B612" s="107"/>
      <c r="C612" s="107"/>
      <c r="D612" s="107"/>
      <c r="E612" s="107"/>
      <c r="F612" s="107"/>
      <c r="G612" s="107"/>
      <c r="H612" s="107"/>
      <c r="I612" s="107"/>
      <c r="J612" s="107"/>
      <c r="K612" s="107"/>
      <c r="L612" s="107"/>
      <c r="M612" s="107"/>
      <c r="N612" s="107"/>
      <c r="O612" s="107"/>
      <c r="P612" s="107"/>
      <c r="Q612" s="107"/>
      <c r="R612" s="107"/>
      <c r="S612" s="107"/>
      <c r="T612" s="107"/>
      <c r="U612" s="107"/>
    </row>
    <row r="613" spans="1:21" x14ac:dyDescent="0.25">
      <c r="A613" s="107"/>
      <c r="B613" s="107"/>
      <c r="C613" s="107"/>
      <c r="D613" s="107"/>
      <c r="E613" s="107"/>
      <c r="F613" s="107"/>
      <c r="G613" s="107"/>
      <c r="H613" s="107"/>
      <c r="I613" s="107"/>
      <c r="J613" s="107"/>
      <c r="K613" s="107"/>
      <c r="L613" s="107"/>
      <c r="M613" s="107"/>
      <c r="N613" s="107"/>
      <c r="O613" s="107"/>
      <c r="P613" s="107"/>
      <c r="Q613" s="107"/>
      <c r="R613" s="107"/>
      <c r="S613" s="107"/>
      <c r="T613" s="107"/>
      <c r="U613" s="107"/>
    </row>
    <row r="614" spans="1:21" x14ac:dyDescent="0.25">
      <c r="A614" s="107"/>
      <c r="B614" s="107"/>
      <c r="C614" s="107"/>
      <c r="D614" s="107"/>
      <c r="E614" s="107"/>
      <c r="F614" s="107"/>
      <c r="G614" s="107"/>
      <c r="H614" s="107"/>
      <c r="I614" s="107"/>
      <c r="J614" s="107"/>
      <c r="K614" s="107"/>
      <c r="L614" s="107"/>
      <c r="M614" s="107"/>
      <c r="N614" s="107"/>
      <c r="O614" s="107"/>
      <c r="P614" s="107"/>
      <c r="Q614" s="107"/>
      <c r="R614" s="107"/>
      <c r="S614" s="107"/>
      <c r="T614" s="107"/>
      <c r="U614" s="107"/>
    </row>
    <row r="615" spans="1:21" x14ac:dyDescent="0.25">
      <c r="A615" s="107"/>
      <c r="B615" s="107"/>
      <c r="C615" s="107"/>
      <c r="D615" s="107"/>
      <c r="E615" s="107"/>
      <c r="F615" s="107"/>
      <c r="G615" s="107"/>
      <c r="H615" s="107"/>
      <c r="I615" s="107"/>
      <c r="J615" s="107"/>
      <c r="K615" s="107"/>
      <c r="L615" s="107"/>
      <c r="M615" s="107"/>
      <c r="N615" s="107"/>
      <c r="O615" s="107"/>
      <c r="P615" s="107"/>
      <c r="Q615" s="107"/>
      <c r="R615" s="107"/>
      <c r="S615" s="107"/>
      <c r="T615" s="107"/>
      <c r="U615" s="107"/>
    </row>
    <row r="616" spans="1:21" x14ac:dyDescent="0.25">
      <c r="A616" s="107"/>
      <c r="B616" s="107"/>
      <c r="C616" s="107"/>
      <c r="D616" s="107"/>
      <c r="E616" s="107"/>
      <c r="F616" s="107"/>
      <c r="G616" s="107"/>
      <c r="H616" s="107"/>
      <c r="I616" s="107"/>
      <c r="J616" s="107"/>
      <c r="K616" s="107"/>
      <c r="L616" s="107"/>
      <c r="M616" s="107"/>
      <c r="N616" s="107"/>
      <c r="O616" s="107"/>
      <c r="P616" s="107"/>
      <c r="Q616" s="107"/>
      <c r="R616" s="107"/>
      <c r="S616" s="107"/>
      <c r="T616" s="107"/>
      <c r="U616" s="107"/>
    </row>
    <row r="617" spans="1:21" x14ac:dyDescent="0.25">
      <c r="A617" s="107"/>
      <c r="B617" s="107"/>
      <c r="C617" s="107"/>
      <c r="D617" s="107"/>
      <c r="E617" s="107"/>
      <c r="F617" s="107"/>
      <c r="G617" s="107"/>
      <c r="H617" s="107"/>
      <c r="I617" s="107"/>
      <c r="J617" s="107"/>
      <c r="K617" s="107"/>
      <c r="L617" s="107"/>
      <c r="M617" s="107"/>
      <c r="N617" s="107"/>
      <c r="O617" s="107"/>
      <c r="P617" s="107"/>
      <c r="Q617" s="107"/>
      <c r="R617" s="107"/>
      <c r="S617" s="107"/>
      <c r="T617" s="107"/>
      <c r="U617" s="107"/>
    </row>
    <row r="618" spans="1:21" x14ac:dyDescent="0.25">
      <c r="A618" s="107"/>
      <c r="B618" s="107"/>
      <c r="C618" s="107"/>
      <c r="D618" s="107"/>
      <c r="E618" s="107"/>
      <c r="F618" s="107"/>
      <c r="G618" s="107"/>
      <c r="H618" s="107"/>
      <c r="I618" s="107"/>
      <c r="J618" s="107"/>
      <c r="K618" s="107"/>
      <c r="L618" s="107"/>
      <c r="M618" s="107"/>
      <c r="N618" s="107"/>
      <c r="O618" s="107"/>
      <c r="P618" s="107"/>
      <c r="Q618" s="107"/>
      <c r="R618" s="107"/>
      <c r="S618" s="107"/>
      <c r="T618" s="107"/>
      <c r="U618" s="107"/>
    </row>
    <row r="619" spans="1:21" x14ac:dyDescent="0.25">
      <c r="A619" s="107"/>
      <c r="B619" s="107"/>
      <c r="C619" s="107"/>
      <c r="D619" s="107"/>
      <c r="E619" s="107"/>
      <c r="F619" s="107"/>
      <c r="G619" s="107"/>
      <c r="H619" s="107"/>
      <c r="I619" s="107"/>
      <c r="J619" s="107"/>
      <c r="K619" s="107"/>
      <c r="L619" s="107"/>
      <c r="M619" s="107"/>
      <c r="N619" s="107"/>
      <c r="O619" s="107"/>
      <c r="P619" s="107"/>
      <c r="Q619" s="107"/>
      <c r="R619" s="107"/>
      <c r="S619" s="107"/>
      <c r="T619" s="107"/>
      <c r="U619" s="107"/>
    </row>
    <row r="620" spans="1:21" x14ac:dyDescent="0.25">
      <c r="A620" s="107"/>
      <c r="B620" s="107"/>
      <c r="C620" s="107"/>
      <c r="D620" s="107"/>
      <c r="E620" s="107"/>
      <c r="F620" s="107"/>
      <c r="G620" s="107"/>
      <c r="H620" s="107"/>
      <c r="I620" s="107"/>
      <c r="J620" s="107"/>
      <c r="K620" s="107"/>
      <c r="L620" s="107"/>
      <c r="M620" s="107"/>
      <c r="N620" s="107"/>
      <c r="O620" s="107"/>
      <c r="P620" s="107"/>
      <c r="Q620" s="107"/>
      <c r="R620" s="107"/>
      <c r="S620" s="107"/>
      <c r="T620" s="107"/>
      <c r="U620" s="107"/>
    </row>
    <row r="621" spans="1:21" x14ac:dyDescent="0.25">
      <c r="A621" s="107"/>
      <c r="B621" s="107"/>
      <c r="C621" s="107"/>
      <c r="D621" s="107"/>
      <c r="E621" s="107"/>
      <c r="F621" s="107"/>
      <c r="G621" s="107"/>
      <c r="H621" s="107"/>
      <c r="I621" s="107"/>
      <c r="J621" s="107"/>
      <c r="K621" s="107"/>
      <c r="L621" s="107"/>
      <c r="M621" s="107"/>
      <c r="N621" s="107"/>
      <c r="O621" s="107"/>
      <c r="P621" s="107"/>
      <c r="Q621" s="107"/>
      <c r="R621" s="107"/>
      <c r="S621" s="107"/>
      <c r="T621" s="107"/>
      <c r="U621" s="107"/>
    </row>
    <row r="622" spans="1:21" x14ac:dyDescent="0.25">
      <c r="A622" s="107"/>
      <c r="B622" s="107"/>
      <c r="C622" s="107"/>
      <c r="D622" s="107"/>
      <c r="E622" s="107"/>
      <c r="F622" s="107"/>
      <c r="G622" s="107"/>
      <c r="H622" s="107"/>
      <c r="I622" s="107"/>
      <c r="J622" s="107"/>
      <c r="K622" s="107"/>
      <c r="L622" s="107"/>
      <c r="M622" s="107"/>
      <c r="N622" s="107"/>
      <c r="O622" s="107"/>
      <c r="P622" s="107"/>
      <c r="Q622" s="107"/>
      <c r="R622" s="107"/>
      <c r="S622" s="107"/>
      <c r="T622" s="107"/>
      <c r="U622" s="107"/>
    </row>
    <row r="623" spans="1:21" x14ac:dyDescent="0.25">
      <c r="A623" s="107"/>
      <c r="B623" s="107"/>
      <c r="C623" s="107"/>
      <c r="D623" s="107"/>
      <c r="E623" s="107"/>
      <c r="F623" s="107"/>
      <c r="G623" s="107"/>
      <c r="H623" s="107"/>
      <c r="I623" s="107"/>
      <c r="J623" s="107"/>
      <c r="K623" s="107"/>
      <c r="L623" s="107"/>
      <c r="M623" s="107"/>
      <c r="N623" s="107"/>
      <c r="O623" s="107"/>
      <c r="P623" s="107"/>
      <c r="Q623" s="107"/>
      <c r="R623" s="107"/>
      <c r="S623" s="107"/>
      <c r="T623" s="107"/>
      <c r="U623" s="107"/>
    </row>
    <row r="624" spans="1:21" x14ac:dyDescent="0.25">
      <c r="A624" s="107"/>
      <c r="B624" s="107"/>
      <c r="C624" s="107"/>
      <c r="D624" s="107"/>
      <c r="E624" s="107"/>
      <c r="F624" s="107"/>
      <c r="G624" s="107"/>
      <c r="H624" s="107"/>
      <c r="I624" s="107"/>
      <c r="J624" s="107"/>
      <c r="K624" s="107"/>
      <c r="L624" s="107"/>
      <c r="M624" s="107"/>
      <c r="N624" s="107"/>
      <c r="O624" s="107"/>
      <c r="P624" s="107"/>
      <c r="Q624" s="107"/>
      <c r="R624" s="107"/>
      <c r="S624" s="107"/>
      <c r="T624" s="107"/>
      <c r="U624" s="107"/>
    </row>
    <row r="625" spans="1:21" x14ac:dyDescent="0.25">
      <c r="A625" s="107"/>
      <c r="B625" s="107"/>
      <c r="C625" s="107"/>
      <c r="D625" s="107"/>
      <c r="E625" s="107"/>
      <c r="F625" s="107"/>
      <c r="G625" s="107"/>
      <c r="H625" s="107"/>
      <c r="I625" s="107"/>
      <c r="J625" s="107"/>
      <c r="K625" s="107"/>
      <c r="L625" s="107"/>
      <c r="M625" s="107"/>
      <c r="N625" s="107"/>
      <c r="O625" s="107"/>
      <c r="P625" s="107"/>
      <c r="Q625" s="107"/>
      <c r="R625" s="107"/>
      <c r="S625" s="107"/>
      <c r="T625" s="107"/>
      <c r="U625" s="107"/>
    </row>
    <row r="626" spans="1:21" x14ac:dyDescent="0.25">
      <c r="A626" s="107"/>
      <c r="B626" s="107"/>
      <c r="C626" s="107"/>
      <c r="D626" s="107"/>
      <c r="E626" s="107"/>
      <c r="F626" s="107"/>
      <c r="G626" s="107"/>
      <c r="H626" s="107"/>
      <c r="I626" s="107"/>
      <c r="J626" s="107"/>
      <c r="K626" s="107"/>
      <c r="L626" s="107"/>
      <c r="M626" s="107"/>
      <c r="N626" s="107"/>
      <c r="O626" s="107"/>
      <c r="P626" s="107"/>
      <c r="Q626" s="107"/>
      <c r="R626" s="107"/>
      <c r="S626" s="107"/>
      <c r="T626" s="107"/>
      <c r="U626" s="107"/>
    </row>
    <row r="627" spans="1:21" x14ac:dyDescent="0.25">
      <c r="A627" s="107"/>
      <c r="B627" s="107"/>
      <c r="C627" s="107"/>
      <c r="D627" s="107"/>
      <c r="E627" s="107"/>
      <c r="F627" s="107"/>
      <c r="G627" s="107"/>
      <c r="H627" s="107"/>
      <c r="I627" s="107"/>
      <c r="J627" s="107"/>
      <c r="K627" s="107"/>
      <c r="L627" s="107"/>
      <c r="M627" s="107"/>
      <c r="N627" s="107"/>
      <c r="O627" s="107"/>
      <c r="P627" s="107"/>
      <c r="Q627" s="107"/>
      <c r="R627" s="107"/>
      <c r="S627" s="107"/>
      <c r="T627" s="107"/>
      <c r="U627" s="107"/>
    </row>
    <row r="628" spans="1:21" x14ac:dyDescent="0.25">
      <c r="A628" s="107"/>
      <c r="B628" s="107"/>
      <c r="C628" s="107"/>
      <c r="D628" s="107"/>
      <c r="E628" s="107"/>
      <c r="F628" s="107"/>
      <c r="G628" s="107"/>
      <c r="H628" s="107"/>
      <c r="I628" s="107"/>
      <c r="J628" s="107"/>
      <c r="K628" s="107"/>
      <c r="L628" s="107"/>
      <c r="M628" s="107"/>
      <c r="N628" s="107"/>
      <c r="O628" s="107"/>
      <c r="P628" s="107"/>
      <c r="Q628" s="107"/>
      <c r="R628" s="107"/>
      <c r="S628" s="107"/>
      <c r="T628" s="107"/>
      <c r="U628" s="107"/>
    </row>
    <row r="629" spans="1:21" x14ac:dyDescent="0.25">
      <c r="A629" s="107"/>
      <c r="B629" s="107"/>
      <c r="C629" s="107"/>
      <c r="D629" s="107"/>
      <c r="E629" s="107"/>
      <c r="F629" s="107"/>
      <c r="G629" s="107"/>
      <c r="H629" s="107"/>
      <c r="I629" s="107"/>
      <c r="J629" s="107"/>
      <c r="K629" s="107"/>
      <c r="L629" s="107"/>
      <c r="M629" s="107"/>
      <c r="N629" s="107"/>
      <c r="O629" s="107"/>
      <c r="P629" s="107"/>
      <c r="Q629" s="107"/>
      <c r="R629" s="107"/>
      <c r="S629" s="107"/>
      <c r="T629" s="107"/>
      <c r="U629" s="107"/>
    </row>
    <row r="630" spans="1:21" x14ac:dyDescent="0.25">
      <c r="A630" s="107"/>
      <c r="B630" s="107"/>
      <c r="C630" s="107"/>
      <c r="D630" s="107"/>
      <c r="E630" s="107"/>
      <c r="F630" s="107"/>
      <c r="G630" s="107"/>
      <c r="H630" s="107"/>
      <c r="I630" s="107"/>
      <c r="J630" s="107"/>
      <c r="K630" s="107"/>
      <c r="L630" s="107"/>
      <c r="M630" s="107"/>
      <c r="N630" s="107"/>
      <c r="O630" s="107"/>
      <c r="P630" s="107"/>
      <c r="Q630" s="107"/>
      <c r="R630" s="107"/>
      <c r="S630" s="107"/>
      <c r="T630" s="107"/>
      <c r="U630" s="107"/>
    </row>
    <row r="631" spans="1:21" x14ac:dyDescent="0.25">
      <c r="A631" s="107"/>
      <c r="B631" s="107"/>
      <c r="C631" s="107"/>
      <c r="D631" s="107"/>
      <c r="E631" s="107"/>
      <c r="F631" s="107"/>
      <c r="G631" s="107"/>
      <c r="H631" s="107"/>
      <c r="I631" s="107"/>
      <c r="J631" s="107"/>
      <c r="K631" s="107"/>
      <c r="L631" s="107"/>
      <c r="M631" s="107"/>
      <c r="N631" s="107"/>
      <c r="O631" s="107"/>
      <c r="P631" s="107"/>
      <c r="Q631" s="107"/>
      <c r="R631" s="107"/>
      <c r="S631" s="107"/>
      <c r="T631" s="107"/>
      <c r="U631" s="107"/>
    </row>
    <row r="632" spans="1:21" x14ac:dyDescent="0.25">
      <c r="A632" s="107"/>
      <c r="B632" s="107"/>
      <c r="C632" s="107"/>
      <c r="D632" s="107"/>
      <c r="E632" s="107"/>
      <c r="F632" s="107"/>
      <c r="G632" s="107"/>
      <c r="H632" s="107"/>
      <c r="I632" s="107"/>
      <c r="J632" s="107"/>
      <c r="K632" s="107"/>
      <c r="L632" s="107"/>
      <c r="M632" s="107"/>
      <c r="N632" s="107"/>
      <c r="O632" s="107"/>
      <c r="P632" s="107"/>
      <c r="Q632" s="107"/>
      <c r="R632" s="107"/>
      <c r="S632" s="107"/>
      <c r="T632" s="107"/>
      <c r="U632" s="107"/>
    </row>
    <row r="633" spans="1:21" x14ac:dyDescent="0.25">
      <c r="A633" s="107"/>
      <c r="B633" s="107"/>
      <c r="C633" s="107"/>
      <c r="D633" s="107"/>
      <c r="E633" s="107"/>
      <c r="F633" s="107"/>
      <c r="G633" s="107"/>
      <c r="H633" s="107"/>
      <c r="I633" s="107"/>
      <c r="J633" s="107"/>
      <c r="K633" s="107"/>
      <c r="L633" s="107"/>
      <c r="M633" s="107"/>
      <c r="N633" s="107"/>
      <c r="O633" s="107"/>
      <c r="P633" s="107"/>
      <c r="Q633" s="107"/>
      <c r="R633" s="107"/>
      <c r="S633" s="107"/>
      <c r="T633" s="107"/>
      <c r="U633" s="107"/>
    </row>
    <row r="634" spans="1:21" x14ac:dyDescent="0.25">
      <c r="A634" s="107"/>
      <c r="B634" s="107"/>
      <c r="C634" s="107"/>
      <c r="D634" s="107"/>
      <c r="E634" s="107"/>
      <c r="F634" s="107"/>
      <c r="G634" s="107"/>
      <c r="H634" s="107"/>
      <c r="I634" s="107"/>
      <c r="J634" s="107"/>
      <c r="K634" s="107"/>
      <c r="L634" s="107"/>
      <c r="M634" s="107"/>
      <c r="N634" s="107"/>
      <c r="O634" s="107"/>
      <c r="P634" s="107"/>
      <c r="Q634" s="107"/>
      <c r="R634" s="107"/>
      <c r="S634" s="107"/>
      <c r="T634" s="107"/>
      <c r="U634" s="107"/>
    </row>
    <row r="635" spans="1:21" x14ac:dyDescent="0.25">
      <c r="A635" s="107"/>
      <c r="B635" s="107"/>
      <c r="C635" s="107"/>
      <c r="D635" s="107"/>
      <c r="E635" s="107"/>
      <c r="F635" s="107"/>
      <c r="G635" s="107"/>
      <c r="H635" s="107"/>
      <c r="I635" s="107"/>
      <c r="J635" s="107"/>
      <c r="K635" s="107"/>
      <c r="L635" s="107"/>
      <c r="M635" s="107"/>
      <c r="N635" s="107"/>
      <c r="O635" s="107"/>
      <c r="P635" s="107"/>
      <c r="Q635" s="107"/>
      <c r="R635" s="107"/>
      <c r="S635" s="107"/>
      <c r="T635" s="107"/>
      <c r="U635" s="107"/>
    </row>
    <row r="636" spans="1:21" x14ac:dyDescent="0.25">
      <c r="A636" s="107"/>
      <c r="B636" s="107"/>
      <c r="C636" s="107"/>
      <c r="D636" s="107"/>
      <c r="E636" s="107"/>
      <c r="F636" s="107"/>
      <c r="G636" s="107"/>
      <c r="H636" s="107"/>
      <c r="I636" s="107"/>
      <c r="J636" s="107"/>
      <c r="K636" s="107"/>
      <c r="L636" s="107"/>
      <c r="M636" s="107"/>
      <c r="N636" s="107"/>
      <c r="O636" s="107"/>
      <c r="P636" s="107"/>
      <c r="Q636" s="107"/>
      <c r="R636" s="107"/>
      <c r="S636" s="107"/>
      <c r="T636" s="107"/>
      <c r="U636" s="107"/>
    </row>
    <row r="637" spans="1:21" x14ac:dyDescent="0.25">
      <c r="A637" s="107"/>
      <c r="B637" s="107"/>
      <c r="C637" s="107"/>
      <c r="D637" s="107"/>
      <c r="E637" s="107"/>
      <c r="F637" s="107"/>
      <c r="G637" s="107"/>
      <c r="H637" s="107"/>
      <c r="I637" s="107"/>
      <c r="J637" s="107"/>
      <c r="K637" s="107"/>
      <c r="L637" s="107"/>
      <c r="M637" s="107"/>
      <c r="N637" s="107"/>
      <c r="O637" s="107"/>
      <c r="P637" s="107"/>
      <c r="Q637" s="107"/>
      <c r="R637" s="107"/>
      <c r="S637" s="107"/>
      <c r="T637" s="107"/>
      <c r="U637" s="107"/>
    </row>
    <row r="638" spans="1:21" x14ac:dyDescent="0.25">
      <c r="A638" s="107"/>
      <c r="B638" s="107"/>
      <c r="C638" s="107"/>
      <c r="D638" s="107"/>
      <c r="E638" s="107"/>
      <c r="F638" s="107"/>
      <c r="G638" s="107"/>
      <c r="H638" s="107"/>
      <c r="I638" s="107"/>
      <c r="J638" s="107"/>
      <c r="K638" s="107"/>
      <c r="L638" s="107"/>
      <c r="M638" s="107"/>
      <c r="N638" s="107"/>
      <c r="O638" s="107"/>
      <c r="P638" s="107"/>
      <c r="Q638" s="107"/>
      <c r="R638" s="107"/>
      <c r="S638" s="107"/>
      <c r="T638" s="107"/>
      <c r="U638" s="107"/>
    </row>
    <row r="639" spans="1:21" x14ac:dyDescent="0.25">
      <c r="A639" s="107"/>
      <c r="B639" s="107"/>
      <c r="C639" s="107"/>
      <c r="D639" s="107"/>
      <c r="E639" s="107"/>
      <c r="F639" s="107"/>
      <c r="G639" s="107"/>
      <c r="H639" s="107"/>
      <c r="I639" s="107"/>
      <c r="J639" s="107"/>
      <c r="K639" s="107"/>
      <c r="L639" s="107"/>
      <c r="M639" s="107"/>
      <c r="N639" s="107"/>
      <c r="O639" s="107"/>
      <c r="P639" s="107"/>
      <c r="Q639" s="107"/>
      <c r="R639" s="107"/>
      <c r="S639" s="107"/>
      <c r="T639" s="107"/>
      <c r="U639" s="107"/>
    </row>
    <row r="640" spans="1:21" x14ac:dyDescent="0.25">
      <c r="A640" s="107"/>
      <c r="B640" s="107"/>
      <c r="C640" s="107"/>
      <c r="D640" s="107"/>
      <c r="E640" s="107"/>
      <c r="F640" s="107"/>
      <c r="G640" s="107"/>
      <c r="H640" s="107"/>
      <c r="I640" s="107"/>
      <c r="J640" s="107"/>
      <c r="K640" s="107"/>
      <c r="L640" s="107"/>
      <c r="M640" s="107"/>
      <c r="N640" s="107"/>
      <c r="O640" s="107"/>
      <c r="P640" s="107"/>
      <c r="Q640" s="107"/>
      <c r="R640" s="107"/>
      <c r="S640" s="107"/>
      <c r="T640" s="107"/>
      <c r="U640" s="107"/>
    </row>
    <row r="641" spans="1:21" x14ac:dyDescent="0.25">
      <c r="A641" s="107"/>
      <c r="B641" s="107"/>
      <c r="C641" s="107"/>
      <c r="D641" s="107"/>
      <c r="E641" s="107"/>
      <c r="F641" s="107"/>
      <c r="G641" s="107"/>
      <c r="H641" s="107"/>
      <c r="I641" s="107"/>
      <c r="J641" s="107"/>
      <c r="K641" s="107"/>
      <c r="L641" s="107"/>
      <c r="M641" s="107"/>
      <c r="N641" s="107"/>
      <c r="O641" s="107"/>
      <c r="P641" s="107"/>
      <c r="Q641" s="107"/>
      <c r="R641" s="107"/>
      <c r="S641" s="107"/>
      <c r="T641" s="107"/>
      <c r="U641" s="107"/>
    </row>
    <row r="642" spans="1:21" x14ac:dyDescent="0.25">
      <c r="A642" s="107"/>
      <c r="B642" s="107"/>
      <c r="C642" s="107"/>
      <c r="D642" s="107"/>
      <c r="E642" s="107"/>
      <c r="F642" s="107"/>
      <c r="G642" s="107"/>
      <c r="H642" s="107"/>
      <c r="I642" s="107"/>
      <c r="J642" s="107"/>
      <c r="K642" s="107"/>
      <c r="L642" s="107"/>
      <c r="M642" s="107"/>
      <c r="N642" s="107"/>
      <c r="O642" s="107"/>
      <c r="P642" s="107"/>
      <c r="Q642" s="107"/>
      <c r="R642" s="107"/>
      <c r="S642" s="107"/>
      <c r="T642" s="107"/>
      <c r="U642" s="107"/>
    </row>
    <row r="643" spans="1:21" x14ac:dyDescent="0.25">
      <c r="A643" s="107"/>
      <c r="B643" s="107"/>
      <c r="C643" s="107"/>
      <c r="D643" s="107"/>
      <c r="E643" s="107"/>
      <c r="F643" s="107"/>
      <c r="G643" s="107"/>
      <c r="H643" s="107"/>
      <c r="I643" s="107"/>
      <c r="J643" s="107"/>
      <c r="K643" s="107"/>
      <c r="L643" s="107"/>
      <c r="M643" s="107"/>
      <c r="N643" s="107"/>
      <c r="O643" s="107"/>
      <c r="P643" s="107"/>
      <c r="Q643" s="107"/>
      <c r="R643" s="107"/>
      <c r="S643" s="107"/>
      <c r="T643" s="107"/>
      <c r="U643" s="107"/>
    </row>
    <row r="644" spans="1:21" x14ac:dyDescent="0.25">
      <c r="A644" s="107"/>
      <c r="B644" s="107"/>
      <c r="C644" s="107"/>
      <c r="D644" s="107"/>
      <c r="E644" s="107"/>
      <c r="F644" s="107"/>
      <c r="G644" s="107"/>
      <c r="H644" s="107"/>
      <c r="I644" s="107"/>
      <c r="J644" s="107"/>
      <c r="K644" s="107"/>
      <c r="L644" s="107"/>
      <c r="M644" s="107"/>
      <c r="N644" s="107"/>
      <c r="O644" s="107"/>
      <c r="P644" s="107"/>
      <c r="Q644" s="107"/>
      <c r="R644" s="107"/>
      <c r="S644" s="107"/>
      <c r="T644" s="107"/>
      <c r="U644" s="107"/>
    </row>
    <row r="645" spans="1:21" x14ac:dyDescent="0.25">
      <c r="A645" s="107"/>
      <c r="B645" s="107"/>
      <c r="C645" s="107"/>
      <c r="D645" s="107"/>
      <c r="E645" s="107"/>
      <c r="F645" s="107"/>
      <c r="G645" s="107"/>
      <c r="H645" s="107"/>
      <c r="I645" s="107"/>
      <c r="J645" s="107"/>
      <c r="K645" s="107"/>
      <c r="L645" s="107"/>
      <c r="M645" s="107"/>
      <c r="N645" s="107"/>
      <c r="O645" s="107"/>
      <c r="P645" s="107"/>
      <c r="Q645" s="107"/>
      <c r="R645" s="107"/>
      <c r="S645" s="107"/>
      <c r="T645" s="107"/>
      <c r="U645" s="107"/>
    </row>
    <row r="646" spans="1:21" x14ac:dyDescent="0.25">
      <c r="A646" s="107"/>
      <c r="B646" s="107"/>
      <c r="C646" s="107"/>
      <c r="D646" s="107"/>
      <c r="E646" s="107"/>
      <c r="F646" s="107"/>
      <c r="G646" s="107"/>
      <c r="H646" s="107"/>
      <c r="I646" s="107"/>
      <c r="J646" s="107"/>
      <c r="K646" s="107"/>
      <c r="L646" s="107"/>
      <c r="M646" s="107"/>
      <c r="N646" s="107"/>
      <c r="O646" s="107"/>
      <c r="P646" s="107"/>
      <c r="Q646" s="107"/>
      <c r="R646" s="107"/>
      <c r="S646" s="107"/>
      <c r="T646" s="107"/>
      <c r="U646" s="107"/>
    </row>
    <row r="647" spans="1:21" x14ac:dyDescent="0.25">
      <c r="A647" s="107"/>
      <c r="B647" s="107"/>
      <c r="C647" s="107"/>
      <c r="D647" s="107"/>
      <c r="E647" s="107"/>
      <c r="F647" s="107"/>
      <c r="G647" s="107"/>
      <c r="H647" s="107"/>
      <c r="I647" s="107"/>
      <c r="J647" s="107"/>
      <c r="K647" s="107"/>
      <c r="L647" s="107"/>
      <c r="M647" s="107"/>
      <c r="N647" s="107"/>
      <c r="O647" s="107"/>
      <c r="P647" s="107"/>
      <c r="Q647" s="107"/>
      <c r="R647" s="107"/>
      <c r="S647" s="107"/>
      <c r="T647" s="107"/>
      <c r="U647" s="107"/>
    </row>
    <row r="648" spans="1:21" x14ac:dyDescent="0.25">
      <c r="A648" s="107"/>
      <c r="B648" s="107"/>
      <c r="C648" s="107"/>
      <c r="D648" s="107"/>
      <c r="E648" s="107"/>
      <c r="F648" s="107"/>
      <c r="G648" s="107"/>
      <c r="H648" s="107"/>
      <c r="I648" s="107"/>
      <c r="J648" s="107"/>
      <c r="K648" s="107"/>
      <c r="L648" s="107"/>
      <c r="M648" s="107"/>
      <c r="N648" s="107"/>
      <c r="O648" s="107"/>
      <c r="P648" s="107"/>
      <c r="Q648" s="107"/>
      <c r="R648" s="107"/>
      <c r="S648" s="107"/>
      <c r="T648" s="107"/>
      <c r="U648" s="107"/>
    </row>
    <row r="649" spans="1:21" x14ac:dyDescent="0.25">
      <c r="A649" s="107"/>
      <c r="B649" s="107"/>
      <c r="C649" s="107"/>
      <c r="D649" s="107"/>
      <c r="E649" s="107"/>
      <c r="F649" s="107"/>
      <c r="G649" s="107"/>
      <c r="H649" s="107"/>
      <c r="I649" s="107"/>
      <c r="J649" s="107"/>
      <c r="K649" s="107"/>
      <c r="L649" s="107"/>
      <c r="M649" s="107"/>
      <c r="N649" s="107"/>
      <c r="O649" s="107"/>
      <c r="P649" s="107"/>
      <c r="Q649" s="107"/>
      <c r="R649" s="107"/>
      <c r="S649" s="107"/>
      <c r="T649" s="107"/>
      <c r="U649" s="107"/>
    </row>
    <row r="650" spans="1:21" x14ac:dyDescent="0.25">
      <c r="A650" s="107"/>
      <c r="B650" s="107"/>
      <c r="C650" s="107"/>
      <c r="D650" s="107"/>
      <c r="E650" s="107"/>
      <c r="F650" s="107"/>
      <c r="G650" s="107"/>
      <c r="H650" s="107"/>
      <c r="I650" s="107"/>
      <c r="J650" s="107"/>
      <c r="K650" s="107"/>
      <c r="L650" s="107"/>
      <c r="M650" s="107"/>
      <c r="N650" s="107"/>
      <c r="O650" s="107"/>
      <c r="P650" s="107"/>
      <c r="Q650" s="107"/>
      <c r="R650" s="107"/>
      <c r="S650" s="107"/>
      <c r="T650" s="107"/>
      <c r="U650" s="107"/>
    </row>
    <row r="651" spans="1:21" x14ac:dyDescent="0.25">
      <c r="A651" s="107"/>
      <c r="B651" s="107"/>
      <c r="C651" s="107"/>
      <c r="D651" s="107"/>
      <c r="E651" s="107"/>
      <c r="F651" s="107"/>
      <c r="G651" s="107"/>
      <c r="H651" s="107"/>
      <c r="I651" s="107"/>
      <c r="J651" s="107"/>
      <c r="K651" s="107"/>
      <c r="L651" s="107"/>
      <c r="M651" s="107"/>
      <c r="N651" s="107"/>
      <c r="O651" s="107"/>
      <c r="P651" s="107"/>
      <c r="Q651" s="107"/>
      <c r="R651" s="107"/>
      <c r="S651" s="107"/>
      <c r="T651" s="107"/>
      <c r="U651" s="107"/>
    </row>
    <row r="652" spans="1:21" x14ac:dyDescent="0.25">
      <c r="A652" s="107"/>
      <c r="B652" s="107"/>
      <c r="C652" s="107"/>
      <c r="D652" s="107"/>
      <c r="E652" s="107"/>
      <c r="F652" s="107"/>
      <c r="G652" s="107"/>
      <c r="H652" s="107"/>
      <c r="I652" s="107"/>
      <c r="J652" s="107"/>
      <c r="K652" s="107"/>
      <c r="L652" s="107"/>
      <c r="M652" s="107"/>
      <c r="N652" s="107"/>
      <c r="O652" s="107"/>
      <c r="P652" s="107"/>
      <c r="Q652" s="107"/>
      <c r="R652" s="107"/>
      <c r="S652" s="107"/>
      <c r="T652" s="107"/>
      <c r="U652" s="107"/>
    </row>
    <row r="653" spans="1:21" x14ac:dyDescent="0.25">
      <c r="A653" s="107"/>
      <c r="B653" s="107"/>
      <c r="C653" s="107"/>
      <c r="D653" s="107"/>
      <c r="E653" s="107"/>
      <c r="F653" s="107"/>
      <c r="G653" s="107"/>
      <c r="H653" s="107"/>
      <c r="I653" s="107"/>
      <c r="J653" s="107"/>
      <c r="K653" s="107"/>
      <c r="L653" s="107"/>
      <c r="M653" s="107"/>
      <c r="N653" s="107"/>
      <c r="O653" s="107"/>
      <c r="P653" s="107"/>
      <c r="Q653" s="107"/>
      <c r="R653" s="107"/>
      <c r="S653" s="107"/>
      <c r="T653" s="107"/>
      <c r="U653" s="107"/>
    </row>
    <row r="654" spans="1:21" x14ac:dyDescent="0.25">
      <c r="A654" s="107"/>
      <c r="B654" s="107"/>
      <c r="C654" s="107"/>
      <c r="D654" s="107"/>
      <c r="E654" s="107"/>
      <c r="F654" s="107"/>
      <c r="G654" s="107"/>
      <c r="H654" s="107"/>
      <c r="I654" s="107"/>
      <c r="J654" s="107"/>
      <c r="K654" s="107"/>
      <c r="L654" s="107"/>
      <c r="M654" s="107"/>
      <c r="N654" s="107"/>
      <c r="O654" s="107"/>
      <c r="P654" s="107"/>
      <c r="Q654" s="107"/>
      <c r="R654" s="107"/>
      <c r="S654" s="107"/>
      <c r="T654" s="107"/>
      <c r="U654" s="107"/>
    </row>
    <row r="655" spans="1:21" x14ac:dyDescent="0.25">
      <c r="A655" s="107"/>
      <c r="B655" s="107"/>
      <c r="C655" s="107"/>
      <c r="D655" s="107"/>
      <c r="E655" s="107"/>
      <c r="F655" s="107"/>
      <c r="G655" s="107"/>
      <c r="H655" s="107"/>
      <c r="I655" s="107"/>
      <c r="J655" s="107"/>
      <c r="K655" s="107"/>
      <c r="L655" s="107"/>
      <c r="M655" s="107"/>
      <c r="N655" s="107"/>
      <c r="O655" s="107"/>
      <c r="P655" s="107"/>
      <c r="Q655" s="107"/>
      <c r="R655" s="107"/>
      <c r="S655" s="107"/>
      <c r="T655" s="107"/>
      <c r="U655" s="107"/>
    </row>
    <row r="656" spans="1:21" x14ac:dyDescent="0.25">
      <c r="A656" s="107"/>
      <c r="B656" s="107"/>
      <c r="C656" s="107"/>
      <c r="D656" s="107"/>
      <c r="E656" s="107"/>
      <c r="F656" s="107"/>
      <c r="G656" s="107"/>
      <c r="H656" s="107"/>
      <c r="I656" s="107"/>
      <c r="J656" s="107"/>
      <c r="K656" s="107"/>
      <c r="L656" s="107"/>
      <c r="M656" s="107"/>
      <c r="N656" s="107"/>
      <c r="O656" s="107"/>
      <c r="P656" s="107"/>
      <c r="Q656" s="107"/>
      <c r="R656" s="107"/>
      <c r="S656" s="107"/>
      <c r="T656" s="107"/>
      <c r="U656" s="107"/>
    </row>
    <row r="657" spans="1:21" x14ac:dyDescent="0.25">
      <c r="A657" s="107"/>
      <c r="B657" s="107"/>
      <c r="C657" s="107"/>
      <c r="D657" s="107"/>
      <c r="E657" s="107"/>
      <c r="F657" s="107"/>
      <c r="G657" s="107"/>
      <c r="H657" s="107"/>
      <c r="I657" s="107"/>
      <c r="J657" s="107"/>
      <c r="K657" s="107"/>
      <c r="L657" s="107"/>
      <c r="M657" s="107"/>
      <c r="N657" s="107"/>
      <c r="O657" s="107"/>
      <c r="P657" s="107"/>
      <c r="Q657" s="107"/>
      <c r="R657" s="107"/>
      <c r="S657" s="107"/>
      <c r="T657" s="107"/>
      <c r="U657" s="107"/>
    </row>
    <row r="658" spans="1:21" x14ac:dyDescent="0.25">
      <c r="A658" s="107"/>
      <c r="B658" s="107"/>
      <c r="C658" s="107"/>
      <c r="D658" s="107"/>
      <c r="E658" s="107"/>
      <c r="F658" s="107"/>
      <c r="G658" s="107"/>
      <c r="H658" s="107"/>
      <c r="I658" s="107"/>
      <c r="J658" s="107"/>
      <c r="K658" s="107"/>
      <c r="L658" s="107"/>
      <c r="M658" s="107"/>
      <c r="N658" s="107"/>
      <c r="O658" s="107"/>
      <c r="P658" s="107"/>
      <c r="Q658" s="107"/>
      <c r="R658" s="107"/>
      <c r="S658" s="107"/>
      <c r="T658" s="107"/>
      <c r="U658" s="107"/>
    </row>
    <row r="659" spans="1:21" x14ac:dyDescent="0.25">
      <c r="A659" s="107"/>
      <c r="B659" s="107"/>
      <c r="C659" s="107"/>
      <c r="D659" s="107"/>
      <c r="E659" s="107"/>
      <c r="F659" s="107"/>
      <c r="G659" s="107"/>
      <c r="H659" s="107"/>
      <c r="I659" s="107"/>
      <c r="J659" s="107"/>
      <c r="K659" s="107"/>
      <c r="L659" s="107"/>
      <c r="M659" s="107"/>
      <c r="N659" s="107"/>
      <c r="O659" s="107"/>
      <c r="P659" s="107"/>
      <c r="Q659" s="107"/>
      <c r="R659" s="107"/>
      <c r="S659" s="107"/>
      <c r="T659" s="107"/>
      <c r="U659" s="107"/>
    </row>
    <row r="660" spans="1:21" x14ac:dyDescent="0.25">
      <c r="A660" s="107"/>
      <c r="B660" s="107"/>
      <c r="C660" s="107"/>
      <c r="D660" s="107"/>
      <c r="E660" s="107"/>
      <c r="F660" s="107"/>
      <c r="G660" s="107"/>
      <c r="H660" s="107"/>
      <c r="I660" s="107"/>
      <c r="J660" s="107"/>
      <c r="K660" s="107"/>
      <c r="L660" s="107"/>
      <c r="M660" s="107"/>
      <c r="N660" s="107"/>
      <c r="O660" s="107"/>
      <c r="P660" s="107"/>
      <c r="Q660" s="107"/>
      <c r="R660" s="107"/>
      <c r="S660" s="107"/>
      <c r="T660" s="107"/>
      <c r="U660" s="107"/>
    </row>
    <row r="661" spans="1:21" x14ac:dyDescent="0.25">
      <c r="A661" s="107"/>
      <c r="B661" s="107"/>
      <c r="C661" s="107"/>
      <c r="D661" s="107"/>
      <c r="E661" s="107"/>
      <c r="F661" s="107"/>
      <c r="G661" s="107"/>
      <c r="H661" s="107"/>
      <c r="I661" s="107"/>
      <c r="J661" s="107"/>
      <c r="K661" s="107"/>
      <c r="L661" s="107"/>
      <c r="M661" s="107"/>
      <c r="N661" s="107"/>
      <c r="O661" s="107"/>
      <c r="P661" s="107"/>
      <c r="Q661" s="107"/>
      <c r="R661" s="107"/>
      <c r="S661" s="107"/>
      <c r="T661" s="107"/>
      <c r="U661" s="107"/>
    </row>
    <row r="662" spans="1:21" x14ac:dyDescent="0.25">
      <c r="A662" s="107"/>
      <c r="B662" s="107"/>
      <c r="C662" s="107"/>
      <c r="D662" s="107"/>
      <c r="E662" s="107"/>
      <c r="F662" s="107"/>
      <c r="G662" s="107"/>
      <c r="H662" s="107"/>
      <c r="I662" s="107"/>
      <c r="J662" s="107"/>
      <c r="K662" s="107"/>
      <c r="L662" s="107"/>
      <c r="M662" s="107"/>
      <c r="N662" s="107"/>
      <c r="O662" s="107"/>
      <c r="P662" s="107"/>
      <c r="Q662" s="107"/>
      <c r="R662" s="107"/>
      <c r="S662" s="107"/>
      <c r="T662" s="107"/>
      <c r="U662" s="107"/>
    </row>
    <row r="663" spans="1:21" x14ac:dyDescent="0.25">
      <c r="A663" s="107"/>
      <c r="B663" s="107"/>
      <c r="C663" s="107"/>
      <c r="D663" s="107"/>
      <c r="E663" s="107"/>
      <c r="F663" s="107"/>
      <c r="G663" s="107"/>
      <c r="H663" s="107"/>
      <c r="I663" s="107"/>
      <c r="J663" s="107"/>
      <c r="K663" s="107"/>
      <c r="L663" s="107"/>
      <c r="M663" s="107"/>
      <c r="N663" s="107"/>
      <c r="O663" s="107"/>
      <c r="P663" s="107"/>
      <c r="Q663" s="107"/>
      <c r="R663" s="107"/>
      <c r="S663" s="107"/>
      <c r="T663" s="107"/>
      <c r="U663" s="107"/>
    </row>
    <row r="664" spans="1:21" x14ac:dyDescent="0.25">
      <c r="A664" s="107"/>
      <c r="B664" s="107"/>
      <c r="C664" s="107"/>
      <c r="D664" s="107"/>
      <c r="E664" s="107"/>
      <c r="F664" s="107"/>
      <c r="G664" s="107"/>
      <c r="H664" s="107"/>
      <c r="I664" s="107"/>
      <c r="J664" s="107"/>
      <c r="K664" s="107"/>
      <c r="L664" s="107"/>
      <c r="M664" s="107"/>
      <c r="N664" s="107"/>
      <c r="O664" s="107"/>
      <c r="P664" s="107"/>
      <c r="Q664" s="107"/>
      <c r="R664" s="107"/>
      <c r="S664" s="107"/>
      <c r="T664" s="107"/>
      <c r="U664" s="107"/>
    </row>
    <row r="665" spans="1:21" x14ac:dyDescent="0.25">
      <c r="A665" s="107"/>
      <c r="B665" s="107"/>
      <c r="C665" s="107"/>
      <c r="D665" s="107"/>
      <c r="E665" s="107"/>
      <c r="F665" s="107"/>
      <c r="G665" s="107"/>
      <c r="H665" s="107"/>
      <c r="I665" s="107"/>
      <c r="J665" s="107"/>
      <c r="K665" s="107"/>
      <c r="L665" s="107"/>
      <c r="M665" s="107"/>
      <c r="N665" s="107"/>
      <c r="O665" s="107"/>
      <c r="P665" s="107"/>
      <c r="Q665" s="107"/>
      <c r="R665" s="107"/>
      <c r="S665" s="107"/>
      <c r="T665" s="107"/>
      <c r="U665" s="107"/>
    </row>
    <row r="666" spans="1:21" x14ac:dyDescent="0.25">
      <c r="A666" s="107"/>
      <c r="B666" s="107"/>
      <c r="C666" s="107"/>
      <c r="D666" s="107"/>
      <c r="E666" s="107"/>
      <c r="F666" s="107"/>
      <c r="G666" s="107"/>
      <c r="H666" s="107"/>
      <c r="I666" s="107"/>
      <c r="J666" s="107"/>
      <c r="K666" s="107"/>
      <c r="L666" s="107"/>
      <c r="M666" s="107"/>
      <c r="N666" s="107"/>
      <c r="O666" s="107"/>
      <c r="P666" s="107"/>
      <c r="Q666" s="107"/>
      <c r="R666" s="107"/>
      <c r="S666" s="107"/>
      <c r="T666" s="107"/>
      <c r="U666" s="107"/>
    </row>
    <row r="667" spans="1:21" x14ac:dyDescent="0.25">
      <c r="A667" s="107"/>
      <c r="B667" s="107"/>
      <c r="C667" s="107"/>
      <c r="D667" s="107"/>
      <c r="E667" s="107"/>
      <c r="F667" s="107"/>
      <c r="G667" s="107"/>
      <c r="H667" s="107"/>
      <c r="I667" s="107"/>
      <c r="J667" s="107"/>
      <c r="K667" s="107"/>
      <c r="L667" s="107"/>
      <c r="M667" s="107"/>
      <c r="N667" s="107"/>
      <c r="O667" s="107"/>
      <c r="P667" s="107"/>
      <c r="Q667" s="107"/>
      <c r="R667" s="107"/>
      <c r="S667" s="107"/>
      <c r="T667" s="107"/>
      <c r="U667" s="107"/>
    </row>
    <row r="668" spans="1:21" x14ac:dyDescent="0.25">
      <c r="A668" s="107"/>
      <c r="B668" s="107"/>
      <c r="C668" s="107"/>
      <c r="D668" s="107"/>
      <c r="E668" s="107"/>
      <c r="F668" s="107"/>
      <c r="G668" s="107"/>
      <c r="H668" s="107"/>
      <c r="I668" s="107"/>
      <c r="J668" s="107"/>
      <c r="K668" s="107"/>
      <c r="L668" s="107"/>
      <c r="M668" s="107"/>
      <c r="N668" s="107"/>
      <c r="O668" s="107"/>
      <c r="P668" s="107"/>
      <c r="Q668" s="107"/>
      <c r="R668" s="107"/>
      <c r="S668" s="107"/>
      <c r="T668" s="107"/>
      <c r="U668" s="107"/>
    </row>
    <row r="669" spans="1:21" x14ac:dyDescent="0.25">
      <c r="A669" s="107"/>
      <c r="B669" s="107"/>
      <c r="C669" s="107"/>
      <c r="D669" s="107"/>
      <c r="E669" s="107"/>
      <c r="F669" s="107"/>
      <c r="G669" s="107"/>
      <c r="H669" s="107"/>
      <c r="I669" s="107"/>
      <c r="J669" s="107"/>
      <c r="K669" s="107"/>
      <c r="L669" s="107"/>
      <c r="M669" s="107"/>
      <c r="N669" s="107"/>
      <c r="O669" s="107"/>
      <c r="P669" s="107"/>
      <c r="Q669" s="107"/>
      <c r="R669" s="107"/>
      <c r="S669" s="107"/>
      <c r="T669" s="107"/>
      <c r="U669" s="107"/>
    </row>
    <row r="670" spans="1:21" x14ac:dyDescent="0.25">
      <c r="A670" s="107"/>
      <c r="B670" s="107"/>
      <c r="C670" s="107"/>
      <c r="D670" s="107"/>
      <c r="E670" s="107"/>
      <c r="F670" s="107"/>
      <c r="G670" s="107"/>
      <c r="H670" s="107"/>
      <c r="I670" s="107"/>
      <c r="J670" s="107"/>
      <c r="K670" s="107"/>
      <c r="L670" s="107"/>
      <c r="M670" s="107"/>
      <c r="N670" s="107"/>
      <c r="O670" s="107"/>
      <c r="P670" s="107"/>
      <c r="Q670" s="107"/>
      <c r="R670" s="107"/>
      <c r="S670" s="107"/>
      <c r="T670" s="107"/>
      <c r="U670" s="107"/>
    </row>
    <row r="671" spans="1:21" x14ac:dyDescent="0.25">
      <c r="A671" s="107"/>
      <c r="B671" s="107"/>
      <c r="C671" s="107"/>
      <c r="D671" s="107"/>
      <c r="E671" s="107"/>
      <c r="F671" s="107"/>
      <c r="G671" s="107"/>
      <c r="H671" s="107"/>
      <c r="I671" s="107"/>
      <c r="J671" s="107"/>
      <c r="K671" s="107"/>
      <c r="L671" s="107"/>
      <c r="M671" s="107"/>
      <c r="N671" s="107"/>
      <c r="O671" s="107"/>
      <c r="P671" s="107"/>
      <c r="Q671" s="107"/>
      <c r="R671" s="107"/>
      <c r="S671" s="107"/>
      <c r="T671" s="107"/>
      <c r="U671" s="107"/>
    </row>
    <row r="672" spans="1:21" x14ac:dyDescent="0.25">
      <c r="A672" s="107"/>
      <c r="B672" s="107"/>
      <c r="C672" s="107"/>
      <c r="D672" s="107"/>
      <c r="E672" s="107"/>
      <c r="F672" s="107"/>
      <c r="G672" s="107"/>
      <c r="H672" s="107"/>
      <c r="I672" s="107"/>
      <c r="J672" s="107"/>
      <c r="K672" s="107"/>
      <c r="L672" s="107"/>
      <c r="M672" s="107"/>
      <c r="N672" s="107"/>
      <c r="O672" s="107"/>
      <c r="P672" s="107"/>
      <c r="Q672" s="107"/>
      <c r="R672" s="107"/>
      <c r="S672" s="107"/>
      <c r="T672" s="107"/>
      <c r="U672" s="107"/>
    </row>
    <row r="673" spans="1:21" x14ac:dyDescent="0.25">
      <c r="A673" s="107"/>
      <c r="B673" s="107"/>
      <c r="C673" s="107"/>
      <c r="D673" s="107"/>
      <c r="E673" s="107"/>
      <c r="F673" s="107"/>
      <c r="G673" s="107"/>
      <c r="H673" s="107"/>
      <c r="I673" s="107"/>
      <c r="J673" s="107"/>
      <c r="K673" s="107"/>
      <c r="L673" s="107"/>
      <c r="M673" s="107"/>
      <c r="N673" s="107"/>
      <c r="O673" s="107"/>
      <c r="P673" s="107"/>
      <c r="Q673" s="107"/>
      <c r="R673" s="107"/>
      <c r="S673" s="107"/>
      <c r="T673" s="107"/>
      <c r="U673" s="107"/>
    </row>
    <row r="674" spans="1:21" x14ac:dyDescent="0.25">
      <c r="A674" s="107"/>
      <c r="B674" s="107"/>
      <c r="C674" s="107"/>
      <c r="D674" s="107"/>
      <c r="E674" s="107"/>
      <c r="F674" s="107"/>
      <c r="G674" s="107"/>
      <c r="H674" s="107"/>
      <c r="I674" s="107"/>
      <c r="J674" s="107"/>
      <c r="K674" s="107"/>
      <c r="L674" s="107"/>
      <c r="M674" s="107"/>
      <c r="N674" s="107"/>
      <c r="O674" s="107"/>
      <c r="P674" s="107"/>
      <c r="Q674" s="107"/>
      <c r="R674" s="107"/>
      <c r="S674" s="107"/>
      <c r="T674" s="107"/>
      <c r="U674" s="107"/>
    </row>
    <row r="675" spans="1:21" x14ac:dyDescent="0.25">
      <c r="A675" s="107"/>
      <c r="B675" s="107"/>
      <c r="C675" s="107"/>
      <c r="D675" s="107"/>
      <c r="E675" s="107"/>
      <c r="F675" s="107"/>
      <c r="G675" s="107"/>
      <c r="H675" s="107"/>
      <c r="I675" s="107"/>
      <c r="J675" s="107"/>
      <c r="K675" s="107"/>
      <c r="L675" s="107"/>
      <c r="M675" s="107"/>
      <c r="N675" s="107"/>
      <c r="O675" s="107"/>
      <c r="P675" s="107"/>
      <c r="Q675" s="107"/>
      <c r="R675" s="107"/>
      <c r="S675" s="107"/>
      <c r="T675" s="107"/>
      <c r="U675" s="107"/>
    </row>
    <row r="676" spans="1:21" x14ac:dyDescent="0.25">
      <c r="A676" s="107"/>
      <c r="B676" s="107"/>
      <c r="C676" s="107"/>
      <c r="D676" s="107"/>
      <c r="E676" s="107"/>
      <c r="F676" s="107"/>
      <c r="G676" s="107"/>
      <c r="H676" s="107"/>
      <c r="I676" s="107"/>
      <c r="J676" s="107"/>
      <c r="K676" s="107"/>
      <c r="L676" s="107"/>
      <c r="M676" s="107"/>
      <c r="N676" s="107"/>
      <c r="O676" s="107"/>
      <c r="P676" s="107"/>
      <c r="Q676" s="107"/>
      <c r="R676" s="107"/>
      <c r="S676" s="107"/>
      <c r="T676" s="107"/>
      <c r="U676" s="107"/>
    </row>
    <row r="677" spans="1:21" x14ac:dyDescent="0.25">
      <c r="A677" s="107"/>
      <c r="B677" s="107"/>
      <c r="C677" s="107"/>
      <c r="D677" s="107"/>
      <c r="E677" s="107"/>
      <c r="F677" s="107"/>
      <c r="G677" s="107"/>
      <c r="H677" s="107"/>
      <c r="I677" s="107"/>
      <c r="J677" s="107"/>
      <c r="K677" s="107"/>
      <c r="L677" s="107"/>
      <c r="M677" s="107"/>
      <c r="N677" s="107"/>
      <c r="O677" s="107"/>
      <c r="P677" s="107"/>
      <c r="Q677" s="107"/>
      <c r="R677" s="107"/>
      <c r="S677" s="107"/>
      <c r="T677" s="107"/>
      <c r="U677" s="107"/>
    </row>
    <row r="678" spans="1:21" x14ac:dyDescent="0.25">
      <c r="A678" s="107"/>
      <c r="B678" s="107"/>
      <c r="C678" s="107"/>
      <c r="D678" s="107"/>
      <c r="E678" s="107"/>
      <c r="F678" s="107"/>
      <c r="G678" s="107"/>
      <c r="H678" s="107"/>
      <c r="I678" s="107"/>
      <c r="J678" s="107"/>
      <c r="K678" s="107"/>
      <c r="L678" s="107"/>
      <c r="M678" s="107"/>
      <c r="N678" s="107"/>
      <c r="O678" s="107"/>
      <c r="P678" s="107"/>
      <c r="Q678" s="107"/>
      <c r="R678" s="107"/>
      <c r="S678" s="107"/>
      <c r="T678" s="107"/>
      <c r="U678" s="107"/>
    </row>
    <row r="679" spans="1:21" x14ac:dyDescent="0.25">
      <c r="A679" s="107"/>
      <c r="B679" s="107"/>
      <c r="C679" s="107"/>
      <c r="D679" s="107"/>
      <c r="E679" s="107"/>
      <c r="F679" s="107"/>
      <c r="G679" s="107"/>
      <c r="H679" s="107"/>
      <c r="I679" s="107"/>
      <c r="J679" s="107"/>
      <c r="K679" s="107"/>
      <c r="L679" s="107"/>
      <c r="M679" s="107"/>
      <c r="N679" s="107"/>
      <c r="O679" s="107"/>
      <c r="P679" s="107"/>
      <c r="Q679" s="107"/>
      <c r="R679" s="107"/>
      <c r="S679" s="107"/>
      <c r="T679" s="107"/>
      <c r="U679" s="107"/>
    </row>
    <row r="680" spans="1:21" x14ac:dyDescent="0.25">
      <c r="A680" s="107"/>
      <c r="B680" s="107"/>
      <c r="C680" s="107"/>
      <c r="D680" s="107"/>
      <c r="E680" s="107"/>
      <c r="F680" s="107"/>
      <c r="G680" s="107"/>
      <c r="H680" s="107"/>
      <c r="I680" s="107"/>
      <c r="J680" s="107"/>
      <c r="K680" s="107"/>
      <c r="L680" s="107"/>
      <c r="M680" s="107"/>
      <c r="N680" s="107"/>
      <c r="O680" s="107"/>
      <c r="P680" s="107"/>
      <c r="Q680" s="107"/>
      <c r="R680" s="107"/>
      <c r="S680" s="107"/>
      <c r="T680" s="107"/>
      <c r="U680" s="107"/>
    </row>
    <row r="681" spans="1:21" x14ac:dyDescent="0.25">
      <c r="A681" s="107"/>
      <c r="B681" s="107"/>
      <c r="C681" s="107"/>
      <c r="D681" s="107"/>
      <c r="E681" s="107"/>
      <c r="F681" s="107"/>
      <c r="G681" s="107"/>
      <c r="H681" s="107"/>
      <c r="I681" s="107"/>
      <c r="J681" s="107"/>
      <c r="K681" s="107"/>
      <c r="L681" s="107"/>
      <c r="M681" s="107"/>
      <c r="N681" s="107"/>
      <c r="O681" s="107"/>
      <c r="P681" s="107"/>
      <c r="Q681" s="107"/>
      <c r="R681" s="107"/>
      <c r="S681" s="107"/>
      <c r="T681" s="107"/>
      <c r="U681" s="107"/>
    </row>
    <row r="682" spans="1:21" x14ac:dyDescent="0.25">
      <c r="A682" s="107"/>
      <c r="B682" s="107"/>
      <c r="C682" s="107"/>
      <c r="D682" s="107"/>
      <c r="E682" s="107"/>
      <c r="F682" s="107"/>
      <c r="G682" s="107"/>
      <c r="H682" s="107"/>
      <c r="I682" s="107"/>
      <c r="J682" s="107"/>
      <c r="K682" s="107"/>
      <c r="L682" s="107"/>
      <c r="M682" s="107"/>
      <c r="N682" s="107"/>
      <c r="O682" s="107"/>
      <c r="P682" s="107"/>
      <c r="Q682" s="107"/>
      <c r="R682" s="107"/>
      <c r="S682" s="107"/>
      <c r="T682" s="107"/>
      <c r="U682" s="107"/>
    </row>
    <row r="683" spans="1:21" x14ac:dyDescent="0.25">
      <c r="C683" s="107"/>
      <c r="D683" s="107"/>
      <c r="E683" s="107"/>
      <c r="F683" s="107"/>
      <c r="G683" s="107"/>
      <c r="H683" s="107"/>
      <c r="I683" s="107"/>
      <c r="J683" s="107"/>
      <c r="K683" s="107"/>
      <c r="L683" s="107"/>
      <c r="M683" s="107"/>
      <c r="N683" s="107"/>
      <c r="O683" s="107"/>
      <c r="P683" s="107"/>
      <c r="Q683" s="107"/>
      <c r="R683" s="107"/>
      <c r="S683" s="107"/>
      <c r="T683" s="107"/>
      <c r="U683" s="107"/>
    </row>
    <row r="684" spans="1:21" x14ac:dyDescent="0.25">
      <c r="C684" s="107"/>
      <c r="D684" s="107"/>
      <c r="E684" s="107"/>
      <c r="F684" s="107"/>
      <c r="G684" s="107"/>
      <c r="H684" s="107"/>
      <c r="I684" s="107"/>
      <c r="J684" s="107"/>
      <c r="K684" s="107"/>
      <c r="L684" s="107"/>
      <c r="M684" s="107"/>
      <c r="N684" s="107"/>
      <c r="O684" s="107"/>
      <c r="P684" s="107"/>
      <c r="Q684" s="107"/>
      <c r="R684" s="107"/>
      <c r="S684" s="107"/>
      <c r="T684" s="107"/>
      <c r="U684" s="107"/>
    </row>
  </sheetData>
  <sheetProtection algorithmName="SHA-512" hashValue="ILPqWhx+VToAuj47SZJ3lcAyERCxP55Zm59oFXmvqqpksmbaPNz3b4ySXG5OHbYgBw8Vgs3kqDG83+J/soBBDQ==" saltValue="eWxWodyOEu6zngy6OqZR8Q==" spinCount="100000" sheet="1" selectLockedCells="1"/>
  <mergeCells count="25">
    <mergeCell ref="E103:F104"/>
    <mergeCell ref="H11:I11"/>
    <mergeCell ref="H8:I8"/>
    <mergeCell ref="E45:H45"/>
    <mergeCell ref="E46:H46"/>
    <mergeCell ref="E47:H47"/>
    <mergeCell ref="E48:H48"/>
    <mergeCell ref="E96:K96"/>
    <mergeCell ref="E35:H35"/>
    <mergeCell ref="E36:H36"/>
    <mergeCell ref="E37:H37"/>
    <mergeCell ref="E38:H38"/>
    <mergeCell ref="E39:H39"/>
    <mergeCell ref="E40:H40"/>
    <mergeCell ref="K72:L72"/>
    <mergeCell ref="E100:L101"/>
    <mergeCell ref="E11:F11"/>
    <mergeCell ref="K11:L11"/>
    <mergeCell ref="K9:L9"/>
    <mergeCell ref="F1:I1"/>
    <mergeCell ref="J1:J2"/>
    <mergeCell ref="K1:L2"/>
    <mergeCell ref="F2:I2"/>
    <mergeCell ref="E8:G8"/>
    <mergeCell ref="K8:L8"/>
  </mergeCells>
  <conditionalFormatting sqref="G105:K108">
    <cfRule type="expression" dxfId="0" priority="1">
      <formula>IF(OR(G105="-",G105=""),0,G105)&gt;=$L$96</formula>
    </cfRule>
  </conditionalFormatting>
  <dataValidations count="1">
    <dataValidation type="list" allowBlank="1" showInputMessage="1" showErrorMessage="1" sqref="L92" xr:uid="{00000000-0002-0000-0200-000000000000}">
      <formula1>$L$155:$L$156</formula1>
    </dataValidation>
  </dataValidations>
  <printOptions horizontalCentered="1"/>
  <pageMargins left="0.23622047244094491" right="0.23622047244094491" top="0.74803149606299213" bottom="0.74803149606299213" header="0.31496062992125984" footer="0.31496062992125984"/>
  <pageSetup paperSize="9" scale="73" fitToWidth="0" fitToHeight="2" orientation="portrait" r:id="rId1"/>
  <rowBreaks count="2" manualBreakCount="2">
    <brk id="53" min="4" max="11" man="1"/>
    <brk id="88" min="4" max="11" man="1"/>
  </rowBreaks>
  <drawing r:id="rId2"/>
  <legacy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1000000}">
          <x14:formula1>
            <xm:f>'C:\Users\stibchr\Desktop\[2023-04-17-Entwässerung-kompl.xlsx]Daten-Druckv.'!#REF!</xm:f>
          </x14:formula1>
          <xm:sqref>E9</xm:sqref>
        </x14:dataValidation>
        <x14:dataValidation type="list" allowBlank="1" showInputMessage="1" showErrorMessage="1" xr:uid="{00000000-0002-0000-0200-000002000000}">
          <x14:formula1>
            <xm:f>'3'!$C$134:$C$147</xm:f>
          </x14:formula1>
          <xm:sqref>H8:H9</xm:sqref>
        </x14:dataValidation>
        <x14:dataValidation type="list" allowBlank="1" showInputMessage="1" showErrorMessage="1" xr:uid="{00000000-0002-0000-0200-000003000000}">
          <x14:formula1>
            <xm:f>'3'!$C$124:$C$129</xm:f>
          </x14:formula1>
          <xm:sqref>E8:G8</xm:sqref>
        </x14:dataValidation>
        <x14:dataValidation type="list" allowBlank="1" showInputMessage="1" showErrorMessage="1" xr:uid="{00000000-0002-0000-0200-000004000000}">
          <x14:formula1>
            <xm:f>'5'!$A$3:$A$15</xm:f>
          </x14:formula1>
          <xm:sqref>K72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186"/>
  <sheetViews>
    <sheetView showGridLines="0" showRowColHeaders="0" zoomScale="70" zoomScaleNormal="70" workbookViewId="0">
      <selection activeCell="F114" sqref="F114"/>
    </sheetView>
  </sheetViews>
  <sheetFormatPr baseColWidth="10" defaultColWidth="11.42578125" defaultRowHeight="15" x14ac:dyDescent="0.25"/>
  <cols>
    <col min="2" max="2" width="7.140625" customWidth="1"/>
    <col min="3" max="3" width="33.7109375" customWidth="1"/>
    <col min="5" max="5" width="15.85546875" customWidth="1"/>
    <col min="7" max="7" width="19.140625" customWidth="1"/>
    <col min="8" max="8" width="18.28515625" customWidth="1"/>
    <col min="10" max="10" width="25.7109375" customWidth="1"/>
    <col min="12" max="12" width="18.140625" customWidth="1"/>
    <col min="13" max="13" width="15" customWidth="1"/>
    <col min="15" max="15" width="10.42578125" customWidth="1"/>
    <col min="16" max="16" width="15.28515625" customWidth="1"/>
  </cols>
  <sheetData>
    <row r="2" spans="3:17" ht="75" x14ac:dyDescent="0.25">
      <c r="C2" s="9" t="s">
        <v>43</v>
      </c>
      <c r="D2" s="8" t="s">
        <v>6</v>
      </c>
      <c r="E2" s="8" t="s">
        <v>7</v>
      </c>
      <c r="F2" s="8" t="s">
        <v>8</v>
      </c>
      <c r="G2" s="8" t="s">
        <v>9</v>
      </c>
      <c r="H2" s="8" t="s">
        <v>10</v>
      </c>
      <c r="I2" s="8" t="s">
        <v>11</v>
      </c>
      <c r="J2" s="8" t="s">
        <v>12</v>
      </c>
      <c r="K2" s="8" t="s">
        <v>269</v>
      </c>
      <c r="L2" s="8" t="s">
        <v>13</v>
      </c>
      <c r="M2" s="8" t="s">
        <v>14</v>
      </c>
      <c r="N2" s="8" t="s">
        <v>270</v>
      </c>
      <c r="O2" s="8" t="s">
        <v>282</v>
      </c>
      <c r="P2" s="8" t="s">
        <v>296</v>
      </c>
      <c r="Q2" s="8" t="s">
        <v>297</v>
      </c>
    </row>
    <row r="3" spans="3:17" x14ac:dyDescent="0.25">
      <c r="C3" s="9" t="s">
        <v>376</v>
      </c>
      <c r="D3" s="9" t="s">
        <v>15</v>
      </c>
      <c r="E3" s="9" t="s">
        <v>16</v>
      </c>
      <c r="F3" s="9">
        <v>16</v>
      </c>
      <c r="G3" s="9">
        <v>1.2</v>
      </c>
      <c r="H3" s="9">
        <v>13.6</v>
      </c>
      <c r="I3" s="10">
        <f t="shared" ref="I3:I66" si="0">0.785*((H3/1000)^2)*1000</f>
        <v>0.14519359999999998</v>
      </c>
      <c r="J3" s="9">
        <v>2E-3</v>
      </c>
      <c r="K3" s="9">
        <f>M3/H3</f>
        <v>1.8382352941176471E-2</v>
      </c>
      <c r="L3" s="9">
        <f>(0.785*((H3/1000)^2))</f>
        <v>1.4519359999999999E-4</v>
      </c>
      <c r="M3" s="9">
        <v>0.25</v>
      </c>
      <c r="N3" s="9">
        <f>Tabelle1[[#This Row],[Rohrrauheit-Koeffizient k]]/Tabelle1[[#This Row],[Innen-Durchmesser '[mm']]]</f>
        <v>1.4705882352941178E-4</v>
      </c>
      <c r="O3" s="9"/>
      <c r="P3" s="9"/>
      <c r="Q3" s="9"/>
    </row>
    <row r="4" spans="3:17" x14ac:dyDescent="0.25">
      <c r="C4" s="9" t="s">
        <v>376</v>
      </c>
      <c r="D4" s="9" t="s">
        <v>17</v>
      </c>
      <c r="E4" s="9" t="s">
        <v>16</v>
      </c>
      <c r="F4" s="9">
        <v>20</v>
      </c>
      <c r="G4" s="9">
        <v>1.5</v>
      </c>
      <c r="H4" s="9">
        <v>17</v>
      </c>
      <c r="I4" s="10">
        <f t="shared" si="0"/>
        <v>0.22686500000000004</v>
      </c>
      <c r="J4" s="9">
        <v>2E-3</v>
      </c>
      <c r="K4" s="9">
        <f t="shared" ref="K4:K59" si="1">M4/H4</f>
        <v>1.4705882352941176E-2</v>
      </c>
      <c r="L4" s="9">
        <f t="shared" ref="L4:L67" si="2">(0.785*((H4/1000)^2))</f>
        <v>2.2686500000000003E-4</v>
      </c>
      <c r="M4" s="9">
        <v>0.25</v>
      </c>
      <c r="N4" s="9">
        <f>Tabelle1[[#This Row],[Rohrrauheit-Koeffizient k]]/Tabelle1[[#This Row],[Innen-Durchmesser '[mm']]]</f>
        <v>1.1764705882352942E-4</v>
      </c>
      <c r="O4" s="9">
        <v>54</v>
      </c>
      <c r="P4" s="9">
        <f>'7'!P9</f>
        <v>260</v>
      </c>
      <c r="Q4" s="9">
        <f>Tabelle1[[#This Row],[Baulänge Armaturen Schieber&amp;Rück-schlagklappe '[mm']]]+Tabelle1[[#This Row],[Höhe Bogen 3*D '[mm']]]</f>
        <v>314</v>
      </c>
    </row>
    <row r="5" spans="3:17" x14ac:dyDescent="0.25">
      <c r="C5" s="9" t="s">
        <v>376</v>
      </c>
      <c r="D5" s="9" t="s">
        <v>18</v>
      </c>
      <c r="E5" s="9" t="s">
        <v>16</v>
      </c>
      <c r="F5" s="9">
        <v>25</v>
      </c>
      <c r="G5" s="9">
        <v>1.9</v>
      </c>
      <c r="H5" s="9">
        <v>21.2</v>
      </c>
      <c r="I5" s="10">
        <f t="shared" si="0"/>
        <v>0.35281040000000002</v>
      </c>
      <c r="J5" s="9">
        <v>2E-3</v>
      </c>
      <c r="K5" s="9">
        <f t="shared" si="1"/>
        <v>1.179245283018868E-2</v>
      </c>
      <c r="L5" s="9">
        <f t="shared" si="2"/>
        <v>3.5281040000000003E-4</v>
      </c>
      <c r="M5" s="9">
        <v>0.25</v>
      </c>
      <c r="N5" s="9">
        <f>Tabelle1[[#This Row],[Rohrrauheit-Koeffizient k]]/Tabelle1[[#This Row],[Innen-Durchmesser '[mm']]]</f>
        <v>9.4339622641509443E-5</v>
      </c>
      <c r="O5" s="9">
        <v>68</v>
      </c>
      <c r="P5" s="9">
        <f>'7'!P10</f>
        <v>300</v>
      </c>
      <c r="Q5" s="9">
        <f>Tabelle1[[#This Row],[Baulänge Armaturen Schieber&amp;Rück-schlagklappe '[mm']]]+Tabelle1[[#This Row],[Höhe Bogen 3*D '[mm']]]</f>
        <v>368</v>
      </c>
    </row>
    <row r="6" spans="3:17" x14ac:dyDescent="0.25">
      <c r="C6" s="9" t="s">
        <v>376</v>
      </c>
      <c r="D6" s="9" t="s">
        <v>19</v>
      </c>
      <c r="E6" s="9" t="s">
        <v>16</v>
      </c>
      <c r="F6" s="9">
        <v>32</v>
      </c>
      <c r="G6" s="9">
        <v>2.4</v>
      </c>
      <c r="H6" s="9">
        <v>27.2</v>
      </c>
      <c r="I6" s="10">
        <f t="shared" si="0"/>
        <v>0.58077439999999991</v>
      </c>
      <c r="J6" s="9">
        <v>2E-3</v>
      </c>
      <c r="K6" s="9">
        <f t="shared" si="1"/>
        <v>9.1911764705882356E-3</v>
      </c>
      <c r="L6" s="9">
        <f t="shared" si="2"/>
        <v>5.8077439999999997E-4</v>
      </c>
      <c r="M6" s="9">
        <v>0.25</v>
      </c>
      <c r="N6" s="9">
        <f>Tabelle1[[#This Row],[Rohrrauheit-Koeffizient k]]/Tabelle1[[#This Row],[Innen-Durchmesser '[mm']]]</f>
        <v>7.3529411764705889E-5</v>
      </c>
      <c r="O6" s="9">
        <v>84.5</v>
      </c>
      <c r="P6" s="9">
        <f>'7'!P11</f>
        <v>320</v>
      </c>
      <c r="Q6" s="9">
        <f>Tabelle1[[#This Row],[Baulänge Armaturen Schieber&amp;Rück-schlagklappe '[mm']]]+Tabelle1[[#This Row],[Höhe Bogen 3*D '[mm']]]</f>
        <v>404.5</v>
      </c>
    </row>
    <row r="7" spans="3:17" x14ac:dyDescent="0.25">
      <c r="C7" s="9" t="s">
        <v>376</v>
      </c>
      <c r="D7" s="9" t="s">
        <v>20</v>
      </c>
      <c r="E7" s="9" t="s">
        <v>16</v>
      </c>
      <c r="F7" s="9">
        <v>40</v>
      </c>
      <c r="G7" s="9">
        <v>3</v>
      </c>
      <c r="H7" s="9">
        <v>34</v>
      </c>
      <c r="I7" s="10">
        <f t="shared" si="0"/>
        <v>0.90746000000000016</v>
      </c>
      <c r="J7" s="9">
        <v>2E-3</v>
      </c>
      <c r="K7" s="9">
        <f t="shared" si="1"/>
        <v>7.3529411764705881E-3</v>
      </c>
      <c r="L7" s="9">
        <f t="shared" si="2"/>
        <v>9.0746000000000012E-4</v>
      </c>
      <c r="M7" s="9">
        <v>0.25</v>
      </c>
      <c r="N7" s="9">
        <f>Tabelle1[[#This Row],[Rohrrauheit-Koeffizient k]]/Tabelle1[[#This Row],[Innen-Durchmesser '[mm']]]</f>
        <v>5.8823529411764708E-5</v>
      </c>
      <c r="O7" s="9">
        <v>105.5</v>
      </c>
      <c r="P7" s="9">
        <f>'7'!P12</f>
        <v>360</v>
      </c>
      <c r="Q7" s="9">
        <f>Tabelle1[[#This Row],[Baulänge Armaturen Schieber&amp;Rück-schlagklappe '[mm']]]+Tabelle1[[#This Row],[Höhe Bogen 3*D '[mm']]]</f>
        <v>465.5</v>
      </c>
    </row>
    <row r="8" spans="3:17" x14ac:dyDescent="0.25">
      <c r="C8" s="9" t="s">
        <v>376</v>
      </c>
      <c r="D8" s="9" t="s">
        <v>21</v>
      </c>
      <c r="E8" s="9" t="s">
        <v>16</v>
      </c>
      <c r="F8" s="9">
        <v>50</v>
      </c>
      <c r="G8" s="9">
        <v>3.7</v>
      </c>
      <c r="H8" s="9">
        <v>42.6</v>
      </c>
      <c r="I8" s="10">
        <f t="shared" si="0"/>
        <v>1.4245866</v>
      </c>
      <c r="J8" s="9">
        <v>2E-3</v>
      </c>
      <c r="K8" s="9">
        <f t="shared" si="1"/>
        <v>5.8685446009389668E-3</v>
      </c>
      <c r="L8" s="9">
        <f t="shared" si="2"/>
        <v>1.4245866E-3</v>
      </c>
      <c r="M8" s="9">
        <v>0.25</v>
      </c>
      <c r="N8" s="9">
        <f>Tabelle1[[#This Row],[Rohrrauheit-Koeffizient k]]/Tabelle1[[#This Row],[Innen-Durchmesser '[mm']]]</f>
        <v>4.6948356807511737E-5</v>
      </c>
      <c r="O8" s="9">
        <v>130.5</v>
      </c>
      <c r="P8" s="9">
        <f>'7'!P13</f>
        <v>400</v>
      </c>
      <c r="Q8" s="9">
        <f>Tabelle1[[#This Row],[Baulänge Armaturen Schieber&amp;Rück-schlagklappe '[mm']]]+Tabelle1[[#This Row],[Höhe Bogen 3*D '[mm']]]</f>
        <v>530.5</v>
      </c>
    </row>
    <row r="9" spans="3:17" x14ac:dyDescent="0.25">
      <c r="C9" s="9" t="s">
        <v>376</v>
      </c>
      <c r="D9" s="9" t="s">
        <v>22</v>
      </c>
      <c r="E9" s="9" t="s">
        <v>16</v>
      </c>
      <c r="F9" s="9">
        <v>63</v>
      </c>
      <c r="G9" s="9">
        <v>4.7</v>
      </c>
      <c r="H9" s="9">
        <v>53.6</v>
      </c>
      <c r="I9" s="10">
        <f t="shared" si="0"/>
        <v>2.2552736000000007</v>
      </c>
      <c r="J9" s="9">
        <v>2E-3</v>
      </c>
      <c r="K9" s="9">
        <f t="shared" si="1"/>
        <v>4.6641791044776115E-3</v>
      </c>
      <c r="L9" s="9">
        <f t="shared" si="2"/>
        <v>2.2552736000000006E-3</v>
      </c>
      <c r="M9" s="9">
        <v>0.25</v>
      </c>
      <c r="N9" s="9">
        <f>Tabelle1[[#This Row],[Rohrrauheit-Koeffizient k]]/Tabelle1[[#This Row],[Innen-Durchmesser '[mm']]]</f>
        <v>3.7313432835820896E-5</v>
      </c>
      <c r="O9" s="9">
        <v>163.5</v>
      </c>
      <c r="P9" s="9">
        <f>'7'!P14</f>
        <v>460</v>
      </c>
      <c r="Q9" s="9">
        <f>Tabelle1[[#This Row],[Baulänge Armaturen Schieber&amp;Rück-schlagklappe '[mm']]]+Tabelle1[[#This Row],[Höhe Bogen 3*D '[mm']]]</f>
        <v>623.5</v>
      </c>
    </row>
    <row r="10" spans="3:17" x14ac:dyDescent="0.25">
      <c r="C10" s="9" t="s">
        <v>376</v>
      </c>
      <c r="D10" s="9" t="s">
        <v>23</v>
      </c>
      <c r="E10" s="9" t="s">
        <v>16</v>
      </c>
      <c r="F10" s="9">
        <v>75</v>
      </c>
      <c r="G10" s="9">
        <v>5.6</v>
      </c>
      <c r="H10" s="9">
        <v>63.8</v>
      </c>
      <c r="I10" s="10">
        <f t="shared" si="0"/>
        <v>3.1952954</v>
      </c>
      <c r="J10" s="9">
        <v>2E-3</v>
      </c>
      <c r="K10" s="9">
        <f t="shared" si="1"/>
        <v>3.9184952978056431E-3</v>
      </c>
      <c r="L10" s="9">
        <f t="shared" si="2"/>
        <v>3.1952954E-3</v>
      </c>
      <c r="M10" s="9">
        <v>0.25</v>
      </c>
      <c r="N10" s="9">
        <f>Tabelle1[[#This Row],[Rohrrauheit-Koeffizient k]]/Tabelle1[[#This Row],[Innen-Durchmesser '[mm']]]</f>
        <v>3.1347962382445142E-5</v>
      </c>
      <c r="O10" s="9">
        <v>197.5</v>
      </c>
      <c r="P10" s="9">
        <f>'7'!P15</f>
        <v>580</v>
      </c>
      <c r="Q10" s="9">
        <f>Tabelle1[[#This Row],[Baulänge Armaturen Schieber&amp;Rück-schlagklappe '[mm']]]+Tabelle1[[#This Row],[Höhe Bogen 3*D '[mm']]]</f>
        <v>777.5</v>
      </c>
    </row>
    <row r="11" spans="3:17" x14ac:dyDescent="0.25">
      <c r="C11" s="9" t="s">
        <v>376</v>
      </c>
      <c r="D11" s="9" t="s">
        <v>24</v>
      </c>
      <c r="E11" s="9" t="s">
        <v>16</v>
      </c>
      <c r="F11" s="9">
        <v>90</v>
      </c>
      <c r="G11" s="9">
        <v>6.7</v>
      </c>
      <c r="H11" s="9">
        <v>76.599999999999994</v>
      </c>
      <c r="I11" s="10">
        <f t="shared" si="0"/>
        <v>4.6060345999999983</v>
      </c>
      <c r="J11" s="9">
        <v>2E-3</v>
      </c>
      <c r="K11" s="9">
        <f t="shared" si="1"/>
        <v>3.2637075718015668E-3</v>
      </c>
      <c r="L11" s="9">
        <f t="shared" si="2"/>
        <v>4.6060345999999986E-3</v>
      </c>
      <c r="M11" s="9">
        <v>0.25</v>
      </c>
      <c r="N11" s="9">
        <f>Tabelle1[[#This Row],[Rohrrauheit-Koeffizient k]]/Tabelle1[[#This Row],[Innen-Durchmesser '[mm']]]</f>
        <v>2.6109660574412536E-5</v>
      </c>
      <c r="O11" s="9">
        <v>236.5</v>
      </c>
      <c r="P11" s="9">
        <f>'7'!P16</f>
        <v>620</v>
      </c>
      <c r="Q11" s="9">
        <f>Tabelle1[[#This Row],[Baulänge Armaturen Schieber&amp;Rück-schlagklappe '[mm']]]+Tabelle1[[#This Row],[Höhe Bogen 3*D '[mm']]]</f>
        <v>856.5</v>
      </c>
    </row>
    <row r="12" spans="3:17" x14ac:dyDescent="0.25">
      <c r="C12" s="9" t="s">
        <v>376</v>
      </c>
      <c r="D12" s="9" t="s">
        <v>25</v>
      </c>
      <c r="E12" s="9" t="s">
        <v>16</v>
      </c>
      <c r="F12" s="9">
        <v>110</v>
      </c>
      <c r="G12" s="9">
        <v>8.1999999999999993</v>
      </c>
      <c r="H12" s="9">
        <v>93.6</v>
      </c>
      <c r="I12" s="10">
        <f t="shared" si="0"/>
        <v>6.8773535999999984</v>
      </c>
      <c r="J12" s="9">
        <v>2E-3</v>
      </c>
      <c r="K12" s="9">
        <f t="shared" si="1"/>
        <v>2.670940170940171E-3</v>
      </c>
      <c r="L12" s="9">
        <f t="shared" si="2"/>
        <v>6.8773535999999986E-3</v>
      </c>
      <c r="M12" s="9">
        <v>0.25</v>
      </c>
      <c r="N12" s="9">
        <f>Tabelle1[[#This Row],[Rohrrauheit-Koeffizient k]]/Tabelle1[[#This Row],[Innen-Durchmesser '[mm']]]</f>
        <v>2.1367521367521371E-5</v>
      </c>
      <c r="O12" s="9">
        <v>288.5</v>
      </c>
      <c r="P12" s="9">
        <f>'7'!P17</f>
        <v>700</v>
      </c>
      <c r="Q12" s="9">
        <f>Tabelle1[[#This Row],[Baulänge Armaturen Schieber&amp;Rück-schlagklappe '[mm']]]+Tabelle1[[#This Row],[Höhe Bogen 3*D '[mm']]]</f>
        <v>988.5</v>
      </c>
    </row>
    <row r="13" spans="3:17" x14ac:dyDescent="0.25">
      <c r="C13" s="9" t="s">
        <v>376</v>
      </c>
      <c r="D13" s="9" t="s">
        <v>26</v>
      </c>
      <c r="E13" s="9" t="s">
        <v>16</v>
      </c>
      <c r="F13" s="9">
        <v>140</v>
      </c>
      <c r="G13" s="9">
        <v>10.4</v>
      </c>
      <c r="H13" s="9">
        <v>119.2</v>
      </c>
      <c r="I13" s="10">
        <f t="shared" si="0"/>
        <v>11.153782400000001</v>
      </c>
      <c r="J13" s="9">
        <v>2E-3</v>
      </c>
      <c r="K13" s="9">
        <f t="shared" si="1"/>
        <v>2.0973154362416107E-3</v>
      </c>
      <c r="L13" s="9">
        <f t="shared" si="2"/>
        <v>1.1153782400000001E-2</v>
      </c>
      <c r="M13" s="9">
        <v>0.25</v>
      </c>
      <c r="N13" s="9">
        <f>Tabelle1[[#This Row],[Rohrrauheit-Koeffizient k]]/Tabelle1[[#This Row],[Innen-Durchmesser '[mm']]]</f>
        <v>1.6778523489932884E-5</v>
      </c>
      <c r="O13" s="9">
        <v>300</v>
      </c>
      <c r="P13" s="9">
        <f>'7'!P18</f>
        <v>800</v>
      </c>
      <c r="Q13" s="9">
        <f>Tabelle1[[#This Row],[Baulänge Armaturen Schieber&amp;Rück-schlagklappe '[mm']]]+Tabelle1[[#This Row],[Höhe Bogen 3*D '[mm']]]</f>
        <v>1100</v>
      </c>
    </row>
    <row r="14" spans="3:17" x14ac:dyDescent="0.25">
      <c r="C14" s="9" t="s">
        <v>376</v>
      </c>
      <c r="D14" s="9" t="s">
        <v>27</v>
      </c>
      <c r="E14" s="9" t="s">
        <v>16</v>
      </c>
      <c r="F14" s="9">
        <v>160</v>
      </c>
      <c r="G14" s="9">
        <v>11.9</v>
      </c>
      <c r="H14" s="9">
        <v>136.19999999999999</v>
      </c>
      <c r="I14" s="10">
        <f t="shared" si="0"/>
        <v>14.562095399999999</v>
      </c>
      <c r="J14" s="9">
        <v>2E-3</v>
      </c>
      <c r="K14" s="9">
        <f t="shared" si="1"/>
        <v>1.8355359765051397E-3</v>
      </c>
      <c r="L14" s="9">
        <f t="shared" si="2"/>
        <v>1.4562095399999999E-2</v>
      </c>
      <c r="M14" s="9">
        <v>0.25</v>
      </c>
      <c r="N14" s="9">
        <f>Tabelle1[[#This Row],[Rohrrauheit-Koeffizient k]]/Tabelle1[[#This Row],[Innen-Durchmesser '[mm']]]</f>
        <v>1.4684287812041117E-5</v>
      </c>
      <c r="O14" s="9">
        <v>301.05</v>
      </c>
      <c r="P14" s="9">
        <f>'7'!P19</f>
        <v>960</v>
      </c>
      <c r="Q14" s="9">
        <f>Tabelle1[[#This Row],[Baulänge Armaturen Schieber&amp;Rück-schlagklappe '[mm']]]+Tabelle1[[#This Row],[Höhe Bogen 3*D '[mm']]]</f>
        <v>1261.05</v>
      </c>
    </row>
    <row r="15" spans="3:17" x14ac:dyDescent="0.25">
      <c r="C15" s="9" t="s">
        <v>376</v>
      </c>
      <c r="D15" s="9" t="s">
        <v>28</v>
      </c>
      <c r="E15" s="9" t="s">
        <v>16</v>
      </c>
      <c r="F15" s="9">
        <v>200</v>
      </c>
      <c r="G15" s="9">
        <v>14.9</v>
      </c>
      <c r="H15" s="9">
        <v>170.2</v>
      </c>
      <c r="I15" s="10">
        <f t="shared" si="0"/>
        <v>22.7399114</v>
      </c>
      <c r="J15" s="9">
        <v>2E-3</v>
      </c>
      <c r="K15" s="9">
        <f t="shared" si="1"/>
        <v>1.4688601645123384E-3</v>
      </c>
      <c r="L15" s="9">
        <f t="shared" si="2"/>
        <v>2.27399114E-2</v>
      </c>
      <c r="M15" s="9">
        <v>0.25</v>
      </c>
      <c r="N15" s="9">
        <f>Tabelle1[[#This Row],[Rohrrauheit-Koeffizient k]]/Tabelle1[[#This Row],[Innen-Durchmesser '[mm']]]</f>
        <v>1.1750881316098709E-5</v>
      </c>
      <c r="O15" s="9"/>
      <c r="P15" s="9"/>
      <c r="Q15" s="9"/>
    </row>
    <row r="16" spans="3:17" x14ac:dyDescent="0.25">
      <c r="C16" s="9" t="s">
        <v>376</v>
      </c>
      <c r="D16" s="9" t="s">
        <v>29</v>
      </c>
      <c r="E16" s="9" t="s">
        <v>16</v>
      </c>
      <c r="F16" s="9">
        <v>250</v>
      </c>
      <c r="G16" s="9">
        <v>18.600000000000001</v>
      </c>
      <c r="H16" s="9">
        <v>212.8</v>
      </c>
      <c r="I16" s="10">
        <f t="shared" si="0"/>
        <v>35.547814400000007</v>
      </c>
      <c r="J16" s="9">
        <v>2E-3</v>
      </c>
      <c r="K16" s="9">
        <f t="shared" si="1"/>
        <v>1.1748120300751879E-3</v>
      </c>
      <c r="L16" s="9">
        <f t="shared" si="2"/>
        <v>3.5547814400000009E-2</v>
      </c>
      <c r="M16" s="9">
        <v>0.25</v>
      </c>
      <c r="N16" s="9">
        <f>Tabelle1[[#This Row],[Rohrrauheit-Koeffizient k]]/Tabelle1[[#This Row],[Innen-Durchmesser '[mm']]]</f>
        <v>9.3984962406015033E-6</v>
      </c>
      <c r="O16" s="9"/>
      <c r="P16" s="9"/>
      <c r="Q16" s="9"/>
    </row>
    <row r="17" spans="3:17" x14ac:dyDescent="0.25">
      <c r="C17" s="9" t="s">
        <v>376</v>
      </c>
      <c r="D17" s="9" t="s">
        <v>30</v>
      </c>
      <c r="E17" s="9" t="s">
        <v>16</v>
      </c>
      <c r="F17" s="9">
        <v>315</v>
      </c>
      <c r="G17" s="9">
        <v>23.4</v>
      </c>
      <c r="H17" s="9">
        <v>268.2</v>
      </c>
      <c r="I17" s="10">
        <f t="shared" si="0"/>
        <v>56.466023399999997</v>
      </c>
      <c r="J17" s="9">
        <v>2E-3</v>
      </c>
      <c r="K17" s="9">
        <f t="shared" si="1"/>
        <v>9.3214019388516034E-4</v>
      </c>
      <c r="L17" s="9">
        <f t="shared" si="2"/>
        <v>5.6466023399999996E-2</v>
      </c>
      <c r="M17" s="9">
        <v>0.25</v>
      </c>
      <c r="N17" s="9">
        <f>Tabelle1[[#This Row],[Rohrrauheit-Koeffizient k]]/Tabelle1[[#This Row],[Innen-Durchmesser '[mm']]]</f>
        <v>7.4571215510812831E-6</v>
      </c>
      <c r="O17" s="9"/>
      <c r="P17" s="9"/>
      <c r="Q17" s="9"/>
    </row>
    <row r="18" spans="3:17" x14ac:dyDescent="0.25">
      <c r="C18" s="9" t="s">
        <v>221</v>
      </c>
      <c r="D18" s="9" t="s">
        <v>15</v>
      </c>
      <c r="E18" s="9" t="s">
        <v>31</v>
      </c>
      <c r="F18" s="9">
        <v>16</v>
      </c>
      <c r="G18" s="9">
        <v>2.2000000000000002</v>
      </c>
      <c r="H18" s="9">
        <v>11.6</v>
      </c>
      <c r="I18" s="10">
        <f t="shared" si="0"/>
        <v>0.10562959999999999</v>
      </c>
      <c r="J18" s="9">
        <v>2E-3</v>
      </c>
      <c r="K18" s="9">
        <f t="shared" si="1"/>
        <v>2.1551724137931036E-2</v>
      </c>
      <c r="L18" s="9">
        <f t="shared" si="2"/>
        <v>1.0562959999999999E-4</v>
      </c>
      <c r="M18" s="9">
        <v>0.25</v>
      </c>
      <c r="N18" s="9">
        <f>Tabelle1[[#This Row],[Rohrrauheit-Koeffizient k]]/Tabelle1[[#This Row],[Innen-Durchmesser '[mm']]]</f>
        <v>1.7241379310344829E-4</v>
      </c>
      <c r="O18" s="9"/>
      <c r="P18" s="9"/>
      <c r="Q18" s="9"/>
    </row>
    <row r="19" spans="3:17" x14ac:dyDescent="0.25">
      <c r="C19" s="9" t="s">
        <v>221</v>
      </c>
      <c r="D19" s="9" t="s">
        <v>17</v>
      </c>
      <c r="E19" s="9" t="s">
        <v>31</v>
      </c>
      <c r="F19" s="9">
        <v>20</v>
      </c>
      <c r="G19" s="9">
        <v>2.8</v>
      </c>
      <c r="H19" s="9">
        <v>14.4</v>
      </c>
      <c r="I19" s="10">
        <f t="shared" si="0"/>
        <v>0.16277759999999999</v>
      </c>
      <c r="J19" s="9">
        <v>2E-3</v>
      </c>
      <c r="K19" s="9">
        <f t="shared" si="1"/>
        <v>1.7361111111111112E-2</v>
      </c>
      <c r="L19" s="9">
        <f t="shared" si="2"/>
        <v>1.627776E-4</v>
      </c>
      <c r="M19" s="9">
        <v>0.25</v>
      </c>
      <c r="N19" s="9">
        <f>Tabelle1[[#This Row],[Rohrrauheit-Koeffizient k]]/Tabelle1[[#This Row],[Innen-Durchmesser '[mm']]]</f>
        <v>1.3888888888888889E-4</v>
      </c>
      <c r="O19" s="9">
        <f>(Tabelle1[[#This Row],[Wanddicke '[mm']  ]]+(Tabelle1[[#This Row],[Innen-Durchmesser '[mm']]])*2)</f>
        <v>31.6</v>
      </c>
      <c r="P19" s="9">
        <f>'7'!P9</f>
        <v>260</v>
      </c>
      <c r="Q19" s="9">
        <f>Tabelle1[[#This Row],[Baulänge Armaturen Schieber&amp;Rück-schlagklappe '[mm']]]+Tabelle1[[#This Row],[Höhe Bogen 3*D '[mm']]]</f>
        <v>291.60000000000002</v>
      </c>
    </row>
    <row r="20" spans="3:17" x14ac:dyDescent="0.25">
      <c r="C20" s="9" t="s">
        <v>221</v>
      </c>
      <c r="D20" s="9" t="s">
        <v>18</v>
      </c>
      <c r="E20" s="9" t="s">
        <v>31</v>
      </c>
      <c r="F20" s="9">
        <v>32</v>
      </c>
      <c r="G20" s="9">
        <v>4.4000000000000004</v>
      </c>
      <c r="H20" s="9">
        <v>23.2</v>
      </c>
      <c r="I20" s="10">
        <f t="shared" si="0"/>
        <v>0.42251839999999996</v>
      </c>
      <c r="J20" s="9">
        <v>2E-3</v>
      </c>
      <c r="K20" s="9">
        <f t="shared" si="1"/>
        <v>1.0775862068965518E-2</v>
      </c>
      <c r="L20" s="9">
        <f t="shared" si="2"/>
        <v>4.2251839999999996E-4</v>
      </c>
      <c r="M20" s="9">
        <v>0.25</v>
      </c>
      <c r="N20" s="9">
        <f>Tabelle1[[#This Row],[Rohrrauheit-Koeffizient k]]/Tabelle1[[#This Row],[Innen-Durchmesser '[mm']]]</f>
        <v>8.6206896551724145E-5</v>
      </c>
      <c r="O20" s="9">
        <f>(Tabelle1[[#This Row],[Wanddicke '[mm']  ]]+(Tabelle1[[#This Row],[Innen-Durchmesser '[mm']]])*2)</f>
        <v>50.8</v>
      </c>
      <c r="P20" s="9">
        <f>'7'!P10</f>
        <v>300</v>
      </c>
      <c r="Q20" s="9">
        <f>Tabelle1[[#This Row],[Baulänge Armaturen Schieber&amp;Rück-schlagklappe '[mm']]]+Tabelle1[[#This Row],[Höhe Bogen 3*D '[mm']]]</f>
        <v>350.8</v>
      </c>
    </row>
    <row r="21" spans="3:17" x14ac:dyDescent="0.25">
      <c r="C21" s="9" t="s">
        <v>221</v>
      </c>
      <c r="D21" s="9" t="s">
        <v>20</v>
      </c>
      <c r="E21" s="9" t="s">
        <v>31</v>
      </c>
      <c r="F21" s="9">
        <v>50</v>
      </c>
      <c r="G21" s="9">
        <v>6.9</v>
      </c>
      <c r="H21" s="9">
        <v>36.200000000000003</v>
      </c>
      <c r="I21" s="10">
        <f t="shared" si="0"/>
        <v>1.0286954000000001</v>
      </c>
      <c r="J21" s="9">
        <v>2E-3</v>
      </c>
      <c r="K21" s="9">
        <f t="shared" si="1"/>
        <v>6.9060773480662981E-3</v>
      </c>
      <c r="L21" s="9">
        <f t="shared" si="2"/>
        <v>1.0286954000000002E-3</v>
      </c>
      <c r="M21" s="9">
        <v>0.25</v>
      </c>
      <c r="N21" s="9">
        <f>Tabelle1[[#This Row],[Rohrrauheit-Koeffizient k]]/Tabelle1[[#This Row],[Innen-Durchmesser '[mm']]]</f>
        <v>5.5248618784530387E-5</v>
      </c>
      <c r="O21" s="9">
        <f>(Tabelle1[[#This Row],[Wanddicke '[mm']  ]]+(Tabelle1[[#This Row],[Innen-Durchmesser '[mm']]])*2)</f>
        <v>79.300000000000011</v>
      </c>
      <c r="P21" s="9">
        <f>'7'!P12</f>
        <v>360</v>
      </c>
      <c r="Q21" s="9">
        <f>Tabelle1[[#This Row],[Baulänge Armaturen Schieber&amp;Rück-schlagklappe '[mm']]]+Tabelle1[[#This Row],[Höhe Bogen 3*D '[mm']]]</f>
        <v>439.3</v>
      </c>
    </row>
    <row r="22" spans="3:17" x14ac:dyDescent="0.25">
      <c r="C22" s="9" t="s">
        <v>221</v>
      </c>
      <c r="D22" s="9" t="s">
        <v>21</v>
      </c>
      <c r="E22" s="9" t="s">
        <v>31</v>
      </c>
      <c r="F22" s="9">
        <v>63</v>
      </c>
      <c r="G22" s="9">
        <v>8.6</v>
      </c>
      <c r="H22" s="9">
        <v>45.8</v>
      </c>
      <c r="I22" s="10">
        <f t="shared" si="0"/>
        <v>1.6466474000000002</v>
      </c>
      <c r="J22" s="9">
        <v>2E-3</v>
      </c>
      <c r="K22" s="9">
        <f t="shared" si="1"/>
        <v>5.4585152838427953E-3</v>
      </c>
      <c r="L22" s="9">
        <f t="shared" si="2"/>
        <v>1.6466474000000001E-3</v>
      </c>
      <c r="M22" s="9">
        <v>0.25</v>
      </c>
      <c r="N22" s="9">
        <f>Tabelle1[[#This Row],[Rohrrauheit-Koeffizient k]]/Tabelle1[[#This Row],[Innen-Durchmesser '[mm']]]</f>
        <v>4.3668122270742362E-5</v>
      </c>
      <c r="O22" s="9">
        <f>(Tabelle1[[#This Row],[Wanddicke '[mm']  ]]+(Tabelle1[[#This Row],[Innen-Durchmesser '[mm']]])*2)</f>
        <v>100.19999999999999</v>
      </c>
      <c r="P22" s="9">
        <f>'7'!P13</f>
        <v>400</v>
      </c>
      <c r="Q22" s="9">
        <f>Tabelle1[[#This Row],[Baulänge Armaturen Schieber&amp;Rück-schlagklappe '[mm']]]+Tabelle1[[#This Row],[Höhe Bogen 3*D '[mm']]]</f>
        <v>500.2</v>
      </c>
    </row>
    <row r="23" spans="3:17" x14ac:dyDescent="0.25">
      <c r="C23" s="9" t="s">
        <v>221</v>
      </c>
      <c r="D23" s="9" t="s">
        <v>22</v>
      </c>
      <c r="E23" s="9" t="s">
        <v>31</v>
      </c>
      <c r="F23" s="9">
        <v>75</v>
      </c>
      <c r="G23" s="9">
        <v>10.3</v>
      </c>
      <c r="H23" s="9">
        <v>54.4</v>
      </c>
      <c r="I23" s="10">
        <f t="shared" si="0"/>
        <v>2.3230975999999997</v>
      </c>
      <c r="J23" s="9">
        <v>2E-3</v>
      </c>
      <c r="K23" s="9">
        <f t="shared" si="1"/>
        <v>4.5955882352941178E-3</v>
      </c>
      <c r="L23" s="9">
        <f t="shared" si="2"/>
        <v>2.3230975999999999E-3</v>
      </c>
      <c r="M23" s="9">
        <v>0.25</v>
      </c>
      <c r="N23" s="9">
        <f>Tabelle1[[#This Row],[Rohrrauheit-Koeffizient k]]/Tabelle1[[#This Row],[Innen-Durchmesser '[mm']]]</f>
        <v>3.6764705882352945E-5</v>
      </c>
      <c r="O23" s="9">
        <f>(Tabelle1[[#This Row],[Wanddicke '[mm']  ]]+(Tabelle1[[#This Row],[Innen-Durchmesser '[mm']]])*2)</f>
        <v>119.1</v>
      </c>
      <c r="P23" s="9">
        <f>'7'!P14</f>
        <v>460</v>
      </c>
      <c r="Q23" s="9">
        <f>Tabelle1[[#This Row],[Baulänge Armaturen Schieber&amp;Rück-schlagklappe '[mm']]]+Tabelle1[[#This Row],[Höhe Bogen 3*D '[mm']]]</f>
        <v>579.1</v>
      </c>
    </row>
    <row r="24" spans="3:17" x14ac:dyDescent="0.25">
      <c r="C24" s="9" t="s">
        <v>221</v>
      </c>
      <c r="D24" s="9" t="s">
        <v>23</v>
      </c>
      <c r="E24" s="9" t="s">
        <v>31</v>
      </c>
      <c r="F24" s="9">
        <v>90</v>
      </c>
      <c r="G24" s="9">
        <v>12.3</v>
      </c>
      <c r="H24" s="9">
        <v>65.400000000000006</v>
      </c>
      <c r="I24" s="10">
        <f t="shared" si="0"/>
        <v>3.3575706000000003</v>
      </c>
      <c r="J24" s="9">
        <v>2E-3</v>
      </c>
      <c r="K24" s="9">
        <f t="shared" si="1"/>
        <v>3.8226299694189597E-3</v>
      </c>
      <c r="L24" s="9">
        <f t="shared" si="2"/>
        <v>3.3575706000000005E-3</v>
      </c>
      <c r="M24" s="9">
        <v>0.25</v>
      </c>
      <c r="N24" s="9">
        <f>Tabelle1[[#This Row],[Rohrrauheit-Koeffizient k]]/Tabelle1[[#This Row],[Innen-Durchmesser '[mm']]]</f>
        <v>3.0581039755351677E-5</v>
      </c>
      <c r="O24" s="9">
        <f>(Tabelle1[[#This Row],[Wanddicke '[mm']  ]]+(Tabelle1[[#This Row],[Innen-Durchmesser '[mm']]])*2)</f>
        <v>143.10000000000002</v>
      </c>
      <c r="P24" s="9">
        <f>'7'!P15</f>
        <v>580</v>
      </c>
      <c r="Q24" s="9">
        <f>Tabelle1[[#This Row],[Baulänge Armaturen Schieber&amp;Rück-schlagklappe '[mm']]]+Tabelle1[[#This Row],[Höhe Bogen 3*D '[mm']]]</f>
        <v>723.1</v>
      </c>
    </row>
    <row r="25" spans="3:17" x14ac:dyDescent="0.25">
      <c r="C25" s="9" t="s">
        <v>221</v>
      </c>
      <c r="D25" s="9" t="s">
        <v>24</v>
      </c>
      <c r="E25" s="9" t="s">
        <v>31</v>
      </c>
      <c r="F25" s="9">
        <v>110</v>
      </c>
      <c r="G25" s="9">
        <v>15.1</v>
      </c>
      <c r="H25" s="9">
        <v>79.8</v>
      </c>
      <c r="I25" s="10">
        <f t="shared" si="0"/>
        <v>4.998911399999999</v>
      </c>
      <c r="J25" s="9">
        <v>2E-3</v>
      </c>
      <c r="K25" s="9">
        <f t="shared" si="1"/>
        <v>3.1328320802005015E-3</v>
      </c>
      <c r="L25" s="9">
        <f t="shared" si="2"/>
        <v>4.9989113999999992E-3</v>
      </c>
      <c r="M25" s="9">
        <v>0.25</v>
      </c>
      <c r="N25" s="9">
        <f>Tabelle1[[#This Row],[Rohrrauheit-Koeffizient k]]/Tabelle1[[#This Row],[Innen-Durchmesser '[mm']]]</f>
        <v>2.5062656641604011E-5</v>
      </c>
      <c r="O25" s="9">
        <f>(Tabelle1[[#This Row],[Wanddicke '[mm']  ]]+(Tabelle1[[#This Row],[Innen-Durchmesser '[mm']]])*2)</f>
        <v>174.7</v>
      </c>
      <c r="P25" s="9">
        <f>'7'!P16</f>
        <v>620</v>
      </c>
      <c r="Q25" s="9">
        <f>Tabelle1[[#This Row],[Baulänge Armaturen Schieber&amp;Rück-schlagklappe '[mm']]]+Tabelle1[[#This Row],[Höhe Bogen 3*D '[mm']]]</f>
        <v>794.7</v>
      </c>
    </row>
    <row r="26" spans="3:17" x14ac:dyDescent="0.25">
      <c r="C26" s="9" t="s">
        <v>221</v>
      </c>
      <c r="D26" s="9" t="s">
        <v>25</v>
      </c>
      <c r="E26" s="9" t="s">
        <v>31</v>
      </c>
      <c r="F26" s="9">
        <v>140</v>
      </c>
      <c r="G26" s="9">
        <v>19.2</v>
      </c>
      <c r="H26" s="9">
        <v>101.6</v>
      </c>
      <c r="I26" s="10">
        <f t="shared" si="0"/>
        <v>8.1032095999999996</v>
      </c>
      <c r="J26" s="9">
        <v>2E-3</v>
      </c>
      <c r="K26" s="9">
        <f t="shared" si="1"/>
        <v>2.4606299212598425E-3</v>
      </c>
      <c r="L26" s="9">
        <f t="shared" si="2"/>
        <v>8.1032095999999994E-3</v>
      </c>
      <c r="M26" s="9">
        <v>0.25</v>
      </c>
      <c r="N26" s="9">
        <f>Tabelle1[[#This Row],[Rohrrauheit-Koeffizient k]]/Tabelle1[[#This Row],[Innen-Durchmesser '[mm']]]</f>
        <v>1.9685039370078743E-5</v>
      </c>
      <c r="O26" s="9">
        <f>(Tabelle1[[#This Row],[Wanddicke '[mm']  ]]+(Tabelle1[[#This Row],[Innen-Durchmesser '[mm']]])*2)</f>
        <v>222.39999999999998</v>
      </c>
      <c r="P26" s="9">
        <f>'7'!P17</f>
        <v>700</v>
      </c>
      <c r="Q26" s="9">
        <f>Tabelle1[[#This Row],[Baulänge Armaturen Schieber&amp;Rück-schlagklappe '[mm']]]+Tabelle1[[#This Row],[Höhe Bogen 3*D '[mm']]]</f>
        <v>922.4</v>
      </c>
    </row>
    <row r="27" spans="3:17" x14ac:dyDescent="0.25">
      <c r="C27" s="9" t="s">
        <v>221</v>
      </c>
      <c r="D27" s="9" t="s">
        <v>26</v>
      </c>
      <c r="E27" s="9" t="s">
        <v>31</v>
      </c>
      <c r="F27" s="9">
        <v>180</v>
      </c>
      <c r="G27" s="9">
        <v>24.6</v>
      </c>
      <c r="H27" s="9">
        <v>130.80000000000001</v>
      </c>
      <c r="I27" s="10">
        <f t="shared" si="0"/>
        <v>13.430282400000001</v>
      </c>
      <c r="J27" s="9">
        <v>2E-3</v>
      </c>
      <c r="K27" s="9">
        <f t="shared" si="1"/>
        <v>1.9113149847094799E-3</v>
      </c>
      <c r="L27" s="9">
        <f t="shared" si="2"/>
        <v>1.3430282400000002E-2</v>
      </c>
      <c r="M27" s="9">
        <v>0.25</v>
      </c>
      <c r="N27" s="9">
        <f>Tabelle1[[#This Row],[Rohrrauheit-Koeffizient k]]/Tabelle1[[#This Row],[Innen-Durchmesser '[mm']]]</f>
        <v>1.5290519877675839E-5</v>
      </c>
      <c r="O27" s="9">
        <f>(Tabelle1[[#This Row],[Wanddicke '[mm']  ]]+(Tabelle1[[#This Row],[Innen-Durchmesser '[mm']]])*2)</f>
        <v>286.20000000000005</v>
      </c>
      <c r="P27" s="9">
        <f>'7'!P18</f>
        <v>800</v>
      </c>
      <c r="Q27" s="9">
        <f>Tabelle1[[#This Row],[Baulänge Armaturen Schieber&amp;Rück-schlagklappe '[mm']]]+Tabelle1[[#This Row],[Höhe Bogen 3*D '[mm']]]</f>
        <v>1086.2</v>
      </c>
    </row>
    <row r="28" spans="3:17" x14ac:dyDescent="0.25">
      <c r="C28" s="9" t="s">
        <v>221</v>
      </c>
      <c r="D28" s="9" t="s">
        <v>27</v>
      </c>
      <c r="E28" s="9" t="s">
        <v>31</v>
      </c>
      <c r="F28" s="9">
        <v>200</v>
      </c>
      <c r="G28" s="9">
        <v>27.4</v>
      </c>
      <c r="H28" s="9">
        <v>145.19999999999999</v>
      </c>
      <c r="I28" s="10">
        <f t="shared" si="0"/>
        <v>16.550186400000001</v>
      </c>
      <c r="J28" s="9">
        <v>2E-3</v>
      </c>
      <c r="K28" s="9">
        <f t="shared" si="1"/>
        <v>1.7217630853994491E-3</v>
      </c>
      <c r="L28" s="9">
        <f t="shared" si="2"/>
        <v>1.65501864E-2</v>
      </c>
      <c r="M28" s="9">
        <v>0.25</v>
      </c>
      <c r="N28" s="9">
        <f>Tabelle1[[#This Row],[Rohrrauheit-Koeffizient k]]/Tabelle1[[#This Row],[Innen-Durchmesser '[mm']]]</f>
        <v>1.3774104683195594E-5</v>
      </c>
      <c r="O28" s="9">
        <f>(Tabelle1[[#This Row],[Wanddicke '[mm']  ]]+(Tabelle1[[#This Row],[Innen-Durchmesser '[mm']]])*2)</f>
        <v>317.79999999999995</v>
      </c>
      <c r="P28" s="9">
        <f>'7'!P19</f>
        <v>960</v>
      </c>
      <c r="Q28" s="9">
        <f>Tabelle1[[#This Row],[Baulänge Armaturen Schieber&amp;Rück-schlagklappe '[mm']]]+Tabelle1[[#This Row],[Höhe Bogen 3*D '[mm']]]</f>
        <v>1277.8</v>
      </c>
    </row>
    <row r="29" spans="3:17" x14ac:dyDescent="0.25">
      <c r="C29" s="9" t="s">
        <v>221</v>
      </c>
      <c r="D29" s="9" t="s">
        <v>28</v>
      </c>
      <c r="E29" s="9" t="s">
        <v>31</v>
      </c>
      <c r="F29" s="9">
        <v>280</v>
      </c>
      <c r="G29" s="9">
        <v>38.299999999999997</v>
      </c>
      <c r="H29" s="9">
        <v>203.4</v>
      </c>
      <c r="I29" s="10">
        <f t="shared" si="0"/>
        <v>32.476674600000003</v>
      </c>
      <c r="J29" s="9">
        <v>2E-3</v>
      </c>
      <c r="K29" s="9">
        <f t="shared" si="1"/>
        <v>1.2291052114060963E-3</v>
      </c>
      <c r="L29" s="9">
        <f t="shared" si="2"/>
        <v>3.2476674600000005E-2</v>
      </c>
      <c r="M29" s="9">
        <v>0.25</v>
      </c>
      <c r="N29" s="9">
        <f>Tabelle1[[#This Row],[Rohrrauheit-Koeffizient k]]/Tabelle1[[#This Row],[Innen-Durchmesser '[mm']]]</f>
        <v>9.8328416912487709E-6</v>
      </c>
      <c r="O29" s="9">
        <f>(Tabelle1[[#This Row],[Wanddicke '[mm']  ]]+(Tabelle1[[#This Row],[Innen-Durchmesser '[mm']]])*2)</f>
        <v>445.1</v>
      </c>
      <c r="P29" s="9">
        <f>'7'!P20</f>
        <v>1200</v>
      </c>
      <c r="Q29" s="9">
        <f>Tabelle1[[#This Row],[Baulänge Armaturen Schieber&amp;Rück-schlagklappe '[mm']]]+Tabelle1[[#This Row],[Höhe Bogen 3*D '[mm']]]</f>
        <v>1645.1</v>
      </c>
    </row>
    <row r="30" spans="3:17" x14ac:dyDescent="0.25">
      <c r="C30" s="9" t="s">
        <v>221</v>
      </c>
      <c r="D30" s="9" t="s">
        <v>29</v>
      </c>
      <c r="E30" s="9" t="s">
        <v>31</v>
      </c>
      <c r="F30" s="9">
        <v>355</v>
      </c>
      <c r="G30" s="9">
        <v>48.5</v>
      </c>
      <c r="H30" s="9">
        <v>258</v>
      </c>
      <c r="I30" s="10">
        <f t="shared" si="0"/>
        <v>52.252739999999996</v>
      </c>
      <c r="J30" s="9">
        <v>2E-3</v>
      </c>
      <c r="K30" s="9">
        <f t="shared" si="1"/>
        <v>9.6899224806201549E-4</v>
      </c>
      <c r="L30" s="9">
        <f t="shared" si="2"/>
        <v>5.2252739999999999E-2</v>
      </c>
      <c r="M30" s="9">
        <v>0.25</v>
      </c>
      <c r="N30" s="9">
        <f>Tabelle1[[#This Row],[Rohrrauheit-Koeffizient k]]/Tabelle1[[#This Row],[Innen-Durchmesser '[mm']]]</f>
        <v>7.7519379844961241E-6</v>
      </c>
      <c r="O30" s="9">
        <f>(Tabelle1[[#This Row],[Wanddicke '[mm']  ]]+(Tabelle1[[#This Row],[Innen-Durchmesser '[mm']]])*2)</f>
        <v>564.5</v>
      </c>
      <c r="P30" s="9">
        <f>'7'!P21</f>
        <v>1460</v>
      </c>
      <c r="Q30" s="9">
        <f>Tabelle1[[#This Row],[Baulänge Armaturen Schieber&amp;Rück-schlagklappe '[mm']]]+Tabelle1[[#This Row],[Höhe Bogen 3*D '[mm']]]</f>
        <v>2024.5</v>
      </c>
    </row>
    <row r="31" spans="3:17" x14ac:dyDescent="0.25">
      <c r="C31" s="9" t="s">
        <v>222</v>
      </c>
      <c r="D31" s="9" t="s">
        <v>17</v>
      </c>
      <c r="E31" s="9" t="s">
        <v>31</v>
      </c>
      <c r="F31" s="9">
        <v>20</v>
      </c>
      <c r="G31" s="9">
        <v>1.9</v>
      </c>
      <c r="H31" s="9">
        <v>16.2</v>
      </c>
      <c r="I31" s="10">
        <f t="shared" si="0"/>
        <v>0.20601539999999999</v>
      </c>
      <c r="J31" s="9">
        <v>2E-3</v>
      </c>
      <c r="K31" s="9">
        <f t="shared" si="1"/>
        <v>1.54320987654321E-2</v>
      </c>
      <c r="L31" s="9">
        <f t="shared" si="2"/>
        <v>2.0601539999999999E-4</v>
      </c>
      <c r="M31" s="9">
        <v>0.25</v>
      </c>
      <c r="N31" s="9">
        <f>Tabelle1[[#This Row],[Rohrrauheit-Koeffizient k]]/Tabelle1[[#This Row],[Innen-Durchmesser '[mm']]]</f>
        <v>1.2345679012345679E-4</v>
      </c>
      <c r="O31" s="9">
        <f>(Tabelle1[[#This Row],[Wanddicke '[mm']  ]]+(Tabelle1[[#This Row],[Innen-Durchmesser '[mm']]])*2)</f>
        <v>34.299999999999997</v>
      </c>
      <c r="P31" s="9">
        <f>'7'!P9</f>
        <v>260</v>
      </c>
      <c r="Q31" s="9">
        <f>Tabelle1[[#This Row],[Baulänge Armaturen Schieber&amp;Rück-schlagklappe '[mm']]]+Tabelle1[[#This Row],[Höhe Bogen 3*D '[mm']]]</f>
        <v>294.3</v>
      </c>
    </row>
    <row r="32" spans="3:17" x14ac:dyDescent="0.25">
      <c r="C32" s="9" t="s">
        <v>222</v>
      </c>
      <c r="D32" s="9" t="s">
        <v>18</v>
      </c>
      <c r="E32" s="9" t="s">
        <v>31</v>
      </c>
      <c r="F32" s="9">
        <v>25</v>
      </c>
      <c r="G32" s="9">
        <v>2.2999999999999998</v>
      </c>
      <c r="H32" s="9">
        <v>20.399999999999999</v>
      </c>
      <c r="I32" s="10">
        <f t="shared" si="0"/>
        <v>0.32668559999999996</v>
      </c>
      <c r="J32" s="9">
        <v>2E-3</v>
      </c>
      <c r="K32" s="9">
        <f t="shared" si="1"/>
        <v>1.2254901960784315E-2</v>
      </c>
      <c r="L32" s="9">
        <f t="shared" si="2"/>
        <v>3.2668559999999994E-4</v>
      </c>
      <c r="M32" s="9">
        <v>0.25</v>
      </c>
      <c r="N32" s="9">
        <f>Tabelle1[[#This Row],[Rohrrauheit-Koeffizient k]]/Tabelle1[[#This Row],[Innen-Durchmesser '[mm']]]</f>
        <v>9.8039215686274519E-5</v>
      </c>
      <c r="O32" s="9">
        <f>(Tabelle1[[#This Row],[Wanddicke '[mm']  ]]+(Tabelle1[[#This Row],[Innen-Durchmesser '[mm']]])*2)</f>
        <v>43.099999999999994</v>
      </c>
      <c r="P32" s="9">
        <f>'7'!P10</f>
        <v>300</v>
      </c>
      <c r="Q32" s="9">
        <f>Tabelle1[[#This Row],[Baulänge Armaturen Schieber&amp;Rück-schlagklappe '[mm']]]+Tabelle1[[#This Row],[Höhe Bogen 3*D '[mm']]]</f>
        <v>343.1</v>
      </c>
    </row>
    <row r="33" spans="3:17" x14ac:dyDescent="0.25">
      <c r="C33" s="9" t="s">
        <v>222</v>
      </c>
      <c r="D33" s="9" t="s">
        <v>19</v>
      </c>
      <c r="E33" s="9" t="s">
        <v>31</v>
      </c>
      <c r="F33" s="9">
        <v>32</v>
      </c>
      <c r="G33" s="9">
        <v>2.9</v>
      </c>
      <c r="H33" s="9">
        <v>26.2</v>
      </c>
      <c r="I33" s="10">
        <f t="shared" si="0"/>
        <v>0.53885539999999987</v>
      </c>
      <c r="J33" s="9">
        <v>2E-3</v>
      </c>
      <c r="K33" s="9">
        <f t="shared" si="1"/>
        <v>9.5419847328244278E-3</v>
      </c>
      <c r="L33" s="9">
        <f t="shared" si="2"/>
        <v>5.388553999999999E-4</v>
      </c>
      <c r="M33" s="9">
        <v>0.25</v>
      </c>
      <c r="N33" s="9">
        <f>Tabelle1[[#This Row],[Rohrrauheit-Koeffizient k]]/Tabelle1[[#This Row],[Innen-Durchmesser '[mm']]]</f>
        <v>7.6335877862595422E-5</v>
      </c>
      <c r="O33" s="9">
        <f>(Tabelle1[[#This Row],[Wanddicke '[mm']  ]]+(Tabelle1[[#This Row],[Innen-Durchmesser '[mm']]])*2)</f>
        <v>55.3</v>
      </c>
      <c r="P33" s="9">
        <f>'7'!P11</f>
        <v>320</v>
      </c>
      <c r="Q33" s="9">
        <f>Tabelle1[[#This Row],[Baulänge Armaturen Schieber&amp;Rück-schlagklappe '[mm']]]+Tabelle1[[#This Row],[Höhe Bogen 3*D '[mm']]]</f>
        <v>375.3</v>
      </c>
    </row>
    <row r="34" spans="3:17" x14ac:dyDescent="0.25">
      <c r="C34" s="9" t="s">
        <v>222</v>
      </c>
      <c r="D34" s="9" t="s">
        <v>20</v>
      </c>
      <c r="E34" s="9" t="s">
        <v>31</v>
      </c>
      <c r="F34" s="9">
        <v>40</v>
      </c>
      <c r="G34" s="9">
        <v>3.7</v>
      </c>
      <c r="H34" s="9">
        <v>32.6</v>
      </c>
      <c r="I34" s="10">
        <f t="shared" si="0"/>
        <v>0.8342666000000003</v>
      </c>
      <c r="J34" s="9">
        <v>2E-3</v>
      </c>
      <c r="K34" s="9">
        <f t="shared" si="1"/>
        <v>7.6687116564417178E-3</v>
      </c>
      <c r="L34" s="9">
        <f t="shared" si="2"/>
        <v>8.3426660000000027E-4</v>
      </c>
      <c r="M34" s="9">
        <v>0.25</v>
      </c>
      <c r="N34" s="9">
        <f>Tabelle1[[#This Row],[Rohrrauheit-Koeffizient k]]/Tabelle1[[#This Row],[Innen-Durchmesser '[mm']]]</f>
        <v>6.1349693251533746E-5</v>
      </c>
      <c r="O34" s="9">
        <f>(Tabelle1[[#This Row],[Wanddicke '[mm']  ]]+(Tabelle1[[#This Row],[Innen-Durchmesser '[mm']]])*2)</f>
        <v>68.900000000000006</v>
      </c>
      <c r="P34" s="9">
        <f>'7'!P12</f>
        <v>360</v>
      </c>
      <c r="Q34" s="9">
        <f>Tabelle1[[#This Row],[Baulänge Armaturen Schieber&amp;Rück-schlagklappe '[mm']]]+Tabelle1[[#This Row],[Höhe Bogen 3*D '[mm']]]</f>
        <v>428.9</v>
      </c>
    </row>
    <row r="35" spans="3:17" x14ac:dyDescent="0.25">
      <c r="C35" s="9" t="s">
        <v>222</v>
      </c>
      <c r="D35" s="9" t="s">
        <v>21</v>
      </c>
      <c r="E35" s="9" t="s">
        <v>31</v>
      </c>
      <c r="F35" s="9">
        <v>50</v>
      </c>
      <c r="G35" s="9">
        <v>4.5999999999999996</v>
      </c>
      <c r="H35" s="9">
        <v>40.799999999999997</v>
      </c>
      <c r="I35" s="10">
        <f t="shared" si="0"/>
        <v>1.3067423999999999</v>
      </c>
      <c r="J35" s="9">
        <v>2E-3</v>
      </c>
      <c r="K35" s="9">
        <f t="shared" si="1"/>
        <v>6.1274509803921576E-3</v>
      </c>
      <c r="L35" s="9">
        <f t="shared" si="2"/>
        <v>1.3067423999999998E-3</v>
      </c>
      <c r="M35" s="9">
        <v>0.25</v>
      </c>
      <c r="N35" s="9">
        <f>Tabelle1[[#This Row],[Rohrrauheit-Koeffizient k]]/Tabelle1[[#This Row],[Innen-Durchmesser '[mm']]]</f>
        <v>4.901960784313726E-5</v>
      </c>
      <c r="O35" s="9">
        <f>(Tabelle1[[#This Row],[Wanddicke '[mm']  ]]+(Tabelle1[[#This Row],[Innen-Durchmesser '[mm']]])*2)</f>
        <v>86.199999999999989</v>
      </c>
      <c r="P35" s="9">
        <f>'7'!P13</f>
        <v>400</v>
      </c>
      <c r="Q35" s="9">
        <f>Tabelle1[[#This Row],[Baulänge Armaturen Schieber&amp;Rück-schlagklappe '[mm']]]+Tabelle1[[#This Row],[Höhe Bogen 3*D '[mm']]]</f>
        <v>486.2</v>
      </c>
    </row>
    <row r="36" spans="3:17" x14ac:dyDescent="0.25">
      <c r="C36" s="9" t="s">
        <v>222</v>
      </c>
      <c r="D36" s="9" t="s">
        <v>22</v>
      </c>
      <c r="E36" s="9" t="s">
        <v>31</v>
      </c>
      <c r="F36" s="9">
        <v>63</v>
      </c>
      <c r="G36" s="9">
        <v>5.8</v>
      </c>
      <c r="H36" s="9">
        <v>51.4</v>
      </c>
      <c r="I36" s="10">
        <f t="shared" si="0"/>
        <v>2.0739386000000004</v>
      </c>
      <c r="J36" s="9">
        <v>2E-3</v>
      </c>
      <c r="K36" s="9">
        <f t="shared" si="1"/>
        <v>4.8638132295719845E-3</v>
      </c>
      <c r="L36" s="9">
        <f t="shared" si="2"/>
        <v>2.0739386000000002E-3</v>
      </c>
      <c r="M36" s="9">
        <v>0.25</v>
      </c>
      <c r="N36" s="9">
        <f>Tabelle1[[#This Row],[Rohrrauheit-Koeffizient k]]/Tabelle1[[#This Row],[Innen-Durchmesser '[mm']]]</f>
        <v>3.8910505836575878E-5</v>
      </c>
      <c r="O36" s="9">
        <f>(Tabelle1[[#This Row],[Wanddicke '[mm']  ]]+(Tabelle1[[#This Row],[Innen-Durchmesser '[mm']]])*2)</f>
        <v>108.6</v>
      </c>
      <c r="P36" s="9">
        <f>'7'!P14</f>
        <v>460</v>
      </c>
      <c r="Q36" s="9">
        <f>Tabelle1[[#This Row],[Baulänge Armaturen Schieber&amp;Rück-schlagklappe '[mm']]]+Tabelle1[[#This Row],[Höhe Bogen 3*D '[mm']]]</f>
        <v>568.6</v>
      </c>
    </row>
    <row r="37" spans="3:17" x14ac:dyDescent="0.25">
      <c r="C37" s="9" t="s">
        <v>222</v>
      </c>
      <c r="D37" s="9" t="s">
        <v>23</v>
      </c>
      <c r="E37" s="9" t="s">
        <v>31</v>
      </c>
      <c r="F37" s="9">
        <v>75</v>
      </c>
      <c r="G37" s="9">
        <v>6.8</v>
      </c>
      <c r="H37" s="9">
        <v>61.4</v>
      </c>
      <c r="I37" s="10">
        <f t="shared" si="0"/>
        <v>2.9594185999999998</v>
      </c>
      <c r="J37" s="9">
        <v>2E-3</v>
      </c>
      <c r="K37" s="9">
        <f t="shared" si="1"/>
        <v>4.0716612377850164E-3</v>
      </c>
      <c r="L37" s="9">
        <f t="shared" si="2"/>
        <v>2.9594185999999999E-3</v>
      </c>
      <c r="M37" s="9">
        <v>0.25</v>
      </c>
      <c r="N37" s="9">
        <f>Tabelle1[[#This Row],[Rohrrauheit-Koeffizient k]]/Tabelle1[[#This Row],[Innen-Durchmesser '[mm']]]</f>
        <v>3.2573289902280134E-5</v>
      </c>
      <c r="O37" s="9">
        <f>(Tabelle1[[#This Row],[Wanddicke '[mm']  ]]+(Tabelle1[[#This Row],[Innen-Durchmesser '[mm']]])*2)</f>
        <v>129.6</v>
      </c>
      <c r="P37" s="9">
        <f>'7'!P15</f>
        <v>580</v>
      </c>
      <c r="Q37" s="9">
        <f>Tabelle1[[#This Row],[Baulänge Armaturen Schieber&amp;Rück-schlagklappe '[mm']]]+Tabelle1[[#This Row],[Höhe Bogen 3*D '[mm']]]</f>
        <v>709.6</v>
      </c>
    </row>
    <row r="38" spans="3:17" x14ac:dyDescent="0.25">
      <c r="C38" s="9" t="s">
        <v>222</v>
      </c>
      <c r="D38" s="9" t="s">
        <v>24</v>
      </c>
      <c r="E38" s="9" t="s">
        <v>31</v>
      </c>
      <c r="F38" s="9">
        <v>90</v>
      </c>
      <c r="G38" s="9">
        <v>8.1999999999999993</v>
      </c>
      <c r="H38" s="9">
        <v>73.599999999999994</v>
      </c>
      <c r="I38" s="10">
        <f t="shared" si="0"/>
        <v>4.2523135999999999</v>
      </c>
      <c r="J38" s="9">
        <v>2E-3</v>
      </c>
      <c r="K38" s="9">
        <f t="shared" si="1"/>
        <v>3.3967391304347829E-3</v>
      </c>
      <c r="L38" s="9">
        <f t="shared" si="2"/>
        <v>4.2523136E-3</v>
      </c>
      <c r="M38" s="9">
        <v>0.25</v>
      </c>
      <c r="N38" s="9">
        <f>Tabelle1[[#This Row],[Rohrrauheit-Koeffizient k]]/Tabelle1[[#This Row],[Innen-Durchmesser '[mm']]]</f>
        <v>2.7173913043478262E-5</v>
      </c>
      <c r="O38" s="9">
        <f>(Tabelle1[[#This Row],[Wanddicke '[mm']  ]]+(Tabelle1[[#This Row],[Innen-Durchmesser '[mm']]])*2)</f>
        <v>155.39999999999998</v>
      </c>
      <c r="P38" s="9">
        <f>'7'!P16</f>
        <v>620</v>
      </c>
      <c r="Q38" s="9">
        <f>Tabelle1[[#This Row],[Baulänge Armaturen Schieber&amp;Rück-schlagklappe '[mm']]]+Tabelle1[[#This Row],[Höhe Bogen 3*D '[mm']]]</f>
        <v>775.4</v>
      </c>
    </row>
    <row r="39" spans="3:17" x14ac:dyDescent="0.25">
      <c r="C39" s="9" t="s">
        <v>222</v>
      </c>
      <c r="D39" s="9" t="s">
        <v>25</v>
      </c>
      <c r="E39" s="9" t="s">
        <v>31</v>
      </c>
      <c r="F39" s="9">
        <v>125</v>
      </c>
      <c r="G39" s="9">
        <v>11.4</v>
      </c>
      <c r="H39" s="9">
        <v>102.2</v>
      </c>
      <c r="I39" s="10">
        <f t="shared" si="0"/>
        <v>8.1991994000000012</v>
      </c>
      <c r="J39" s="9">
        <v>2E-3</v>
      </c>
      <c r="K39" s="9">
        <f t="shared" si="1"/>
        <v>2.446183953033268E-3</v>
      </c>
      <c r="L39" s="9">
        <f t="shared" si="2"/>
        <v>8.1991994000000009E-3</v>
      </c>
      <c r="M39" s="9">
        <v>0.25</v>
      </c>
      <c r="N39" s="9">
        <f>Tabelle1[[#This Row],[Rohrrauheit-Koeffizient k]]/Tabelle1[[#This Row],[Innen-Durchmesser '[mm']]]</f>
        <v>1.9569471624266145E-5</v>
      </c>
      <c r="O39" s="9">
        <f>(Tabelle1[[#This Row],[Wanddicke '[mm']  ]]+(Tabelle1[[#This Row],[Innen-Durchmesser '[mm']]])*2)</f>
        <v>215.8</v>
      </c>
      <c r="P39" s="9">
        <f>'7'!P17</f>
        <v>700</v>
      </c>
      <c r="Q39" s="9">
        <f>Tabelle1[[#This Row],[Baulänge Armaturen Schieber&amp;Rück-schlagklappe '[mm']]]+Tabelle1[[#This Row],[Höhe Bogen 3*D '[mm']]]</f>
        <v>915.8</v>
      </c>
    </row>
    <row r="40" spans="3:17" x14ac:dyDescent="0.25">
      <c r="C40" s="9" t="s">
        <v>222</v>
      </c>
      <c r="D40" s="9" t="s">
        <v>26</v>
      </c>
      <c r="E40" s="9" t="s">
        <v>31</v>
      </c>
      <c r="F40" s="9">
        <v>160</v>
      </c>
      <c r="G40" s="9">
        <v>14.6</v>
      </c>
      <c r="H40" s="9">
        <v>130.80000000000001</v>
      </c>
      <c r="I40" s="10">
        <f t="shared" si="0"/>
        <v>13.430282400000001</v>
      </c>
      <c r="J40" s="9">
        <v>2E-3</v>
      </c>
      <c r="K40" s="9">
        <f t="shared" si="1"/>
        <v>1.9113149847094799E-3</v>
      </c>
      <c r="L40" s="9">
        <f t="shared" si="2"/>
        <v>1.3430282400000002E-2</v>
      </c>
      <c r="M40" s="9">
        <v>0.25</v>
      </c>
      <c r="N40" s="9">
        <f>Tabelle1[[#This Row],[Rohrrauheit-Koeffizient k]]/Tabelle1[[#This Row],[Innen-Durchmesser '[mm']]]</f>
        <v>1.5290519877675839E-5</v>
      </c>
      <c r="O40" s="9">
        <f>(Tabelle1[[#This Row],[Wanddicke '[mm']  ]]+(Tabelle1[[#This Row],[Innen-Durchmesser '[mm']]])*2)</f>
        <v>276.20000000000005</v>
      </c>
      <c r="P40" s="9">
        <f>'7'!P18</f>
        <v>800</v>
      </c>
      <c r="Q40" s="9">
        <f>Tabelle1[[#This Row],[Baulänge Armaturen Schieber&amp;Rück-schlagklappe '[mm']]]+Tabelle1[[#This Row],[Höhe Bogen 3*D '[mm']]]</f>
        <v>1076.2</v>
      </c>
    </row>
    <row r="41" spans="3:17" x14ac:dyDescent="0.25">
      <c r="C41" s="9" t="s">
        <v>222</v>
      </c>
      <c r="D41" s="9" t="s">
        <v>27</v>
      </c>
      <c r="E41" s="9" t="s">
        <v>31</v>
      </c>
      <c r="F41" s="9">
        <v>180</v>
      </c>
      <c r="G41" s="9">
        <v>16.399999999999999</v>
      </c>
      <c r="H41" s="9">
        <v>147.19999999999999</v>
      </c>
      <c r="I41" s="10">
        <f t="shared" si="0"/>
        <v>17.0092544</v>
      </c>
      <c r="J41" s="9">
        <v>2E-3</v>
      </c>
      <c r="K41" s="9">
        <f t="shared" si="1"/>
        <v>1.6983695652173915E-3</v>
      </c>
      <c r="L41" s="9">
        <f t="shared" si="2"/>
        <v>1.70092544E-2</v>
      </c>
      <c r="M41" s="9">
        <v>0.25</v>
      </c>
      <c r="N41" s="9">
        <f>Tabelle1[[#This Row],[Rohrrauheit-Koeffizient k]]/Tabelle1[[#This Row],[Innen-Durchmesser '[mm']]]</f>
        <v>1.3586956521739131E-5</v>
      </c>
      <c r="O41" s="9">
        <f>(Tabelle1[[#This Row],[Wanddicke '[mm']  ]]+(Tabelle1[[#This Row],[Innen-Durchmesser '[mm']]])*2)</f>
        <v>310.79999999999995</v>
      </c>
      <c r="P41" s="9">
        <f>'7'!P19</f>
        <v>960</v>
      </c>
      <c r="Q41" s="9">
        <f>Tabelle1[[#This Row],[Baulänge Armaturen Schieber&amp;Rück-schlagklappe '[mm']]]+Tabelle1[[#This Row],[Höhe Bogen 3*D '[mm']]]</f>
        <v>1270.8</v>
      </c>
    </row>
    <row r="42" spans="3:17" x14ac:dyDescent="0.25">
      <c r="C42" s="9" t="s">
        <v>222</v>
      </c>
      <c r="D42" s="9" t="s">
        <v>28</v>
      </c>
      <c r="E42" s="9" t="s">
        <v>31</v>
      </c>
      <c r="F42" s="9">
        <v>250</v>
      </c>
      <c r="G42" s="9">
        <v>22.7</v>
      </c>
      <c r="H42" s="9">
        <v>204.6</v>
      </c>
      <c r="I42" s="10">
        <f t="shared" si="0"/>
        <v>32.861010600000007</v>
      </c>
      <c r="J42" s="9">
        <v>2E-3</v>
      </c>
      <c r="K42" s="9">
        <f t="shared" si="1"/>
        <v>1.2218963831867058E-3</v>
      </c>
      <c r="L42" s="9">
        <f t="shared" si="2"/>
        <v>3.2861010600000004E-2</v>
      </c>
      <c r="M42" s="9">
        <v>0.25</v>
      </c>
      <c r="N42" s="9">
        <f>Tabelle1[[#This Row],[Rohrrauheit-Koeffizient k]]/Tabelle1[[#This Row],[Innen-Durchmesser '[mm']]]</f>
        <v>9.7751710654936461E-6</v>
      </c>
      <c r="O42" s="9">
        <f>(Tabelle1[[#This Row],[Wanddicke '[mm']  ]]+(Tabelle1[[#This Row],[Innen-Durchmesser '[mm']]])*2)</f>
        <v>431.9</v>
      </c>
      <c r="P42" s="9">
        <f>'7'!P20</f>
        <v>1200</v>
      </c>
      <c r="Q42" s="9">
        <f>Tabelle1[[#This Row],[Baulänge Armaturen Schieber&amp;Rück-schlagklappe '[mm']]]+Tabelle1[[#This Row],[Höhe Bogen 3*D '[mm']]]</f>
        <v>1631.9</v>
      </c>
    </row>
    <row r="43" spans="3:17" x14ac:dyDescent="0.25">
      <c r="C43" s="9" t="s">
        <v>222</v>
      </c>
      <c r="D43" s="9" t="s">
        <v>29</v>
      </c>
      <c r="E43" s="9" t="s">
        <v>31</v>
      </c>
      <c r="F43" s="9">
        <v>315</v>
      </c>
      <c r="G43" s="9">
        <v>28.6</v>
      </c>
      <c r="H43" s="9">
        <v>257.8</v>
      </c>
      <c r="I43" s="10">
        <f t="shared" si="0"/>
        <v>52.17175940000002</v>
      </c>
      <c r="J43" s="9">
        <v>2E-3</v>
      </c>
      <c r="K43" s="9">
        <f t="shared" si="1"/>
        <v>9.6974398758727695E-4</v>
      </c>
      <c r="L43" s="9">
        <f t="shared" si="2"/>
        <v>5.2171759400000017E-2</v>
      </c>
      <c r="M43" s="9">
        <v>0.25</v>
      </c>
      <c r="N43" s="9">
        <f>Tabelle1[[#This Row],[Rohrrauheit-Koeffizient k]]/Tabelle1[[#This Row],[Innen-Durchmesser '[mm']]]</f>
        <v>7.7579519006982157E-6</v>
      </c>
      <c r="O43" s="9">
        <f>(Tabelle1[[#This Row],[Wanddicke '[mm']  ]]+(Tabelle1[[#This Row],[Innen-Durchmesser '[mm']]])*2)</f>
        <v>544.20000000000005</v>
      </c>
      <c r="P43" s="9">
        <f>'7'!P21</f>
        <v>1460</v>
      </c>
      <c r="Q43" s="9">
        <f>Tabelle1[[#This Row],[Baulänge Armaturen Schieber&amp;Rück-schlagklappe '[mm']]]+Tabelle1[[#This Row],[Höhe Bogen 3*D '[mm']]]</f>
        <v>2004.2</v>
      </c>
    </row>
    <row r="44" spans="3:17" x14ac:dyDescent="0.25">
      <c r="C44" s="9" t="s">
        <v>222</v>
      </c>
      <c r="D44" s="9" t="s">
        <v>32</v>
      </c>
      <c r="E44" s="9" t="s">
        <v>31</v>
      </c>
      <c r="F44" s="9">
        <v>355</v>
      </c>
      <c r="G44" s="9">
        <v>32.200000000000003</v>
      </c>
      <c r="H44" s="9">
        <v>290.60000000000002</v>
      </c>
      <c r="I44" s="10">
        <f t="shared" si="0"/>
        <v>66.291962600000019</v>
      </c>
      <c r="J44" s="9">
        <v>2E-3</v>
      </c>
      <c r="K44" s="9">
        <f t="shared" si="1"/>
        <v>8.602890571231933E-4</v>
      </c>
      <c r="L44" s="9">
        <f t="shared" si="2"/>
        <v>6.6291962600000018E-2</v>
      </c>
      <c r="M44" s="9">
        <v>0.25</v>
      </c>
      <c r="N44" s="9">
        <f>Tabelle1[[#This Row],[Rohrrauheit-Koeffizient k]]/Tabelle1[[#This Row],[Innen-Durchmesser '[mm']]]</f>
        <v>6.882312456985547E-6</v>
      </c>
      <c r="O44" s="9">
        <f>(Tabelle1[[#This Row],[Wanddicke '[mm']  ]]+(Tabelle1[[#This Row],[Innen-Durchmesser '[mm']]])*2)</f>
        <v>613.40000000000009</v>
      </c>
      <c r="P44" s="9"/>
      <c r="Q44" s="9"/>
    </row>
    <row r="45" spans="3:17" x14ac:dyDescent="0.25">
      <c r="C45" s="9" t="s">
        <v>222</v>
      </c>
      <c r="D45" s="9" t="s">
        <v>33</v>
      </c>
      <c r="E45" s="9" t="s">
        <v>31</v>
      </c>
      <c r="F45" s="9">
        <v>450</v>
      </c>
      <c r="G45" s="9">
        <v>40.9</v>
      </c>
      <c r="H45" s="9">
        <v>368.2</v>
      </c>
      <c r="I45" s="10">
        <f t="shared" si="0"/>
        <v>106.42342339999999</v>
      </c>
      <c r="J45" s="9">
        <v>2E-3</v>
      </c>
      <c r="K45" s="9">
        <f t="shared" si="1"/>
        <v>6.7897881586094521E-4</v>
      </c>
      <c r="L45" s="9">
        <f t="shared" si="2"/>
        <v>0.10642342339999999</v>
      </c>
      <c r="M45" s="9">
        <v>0.25</v>
      </c>
      <c r="N45" s="9">
        <f>Tabelle1[[#This Row],[Rohrrauheit-Koeffizient k]]/Tabelle1[[#This Row],[Innen-Durchmesser '[mm']]]</f>
        <v>5.4318305268875612E-6</v>
      </c>
      <c r="O45" s="9">
        <f>(Tabelle1[[#This Row],[Wanddicke '[mm']  ]]+(Tabelle1[[#This Row],[Innen-Durchmesser '[mm']]])*2)</f>
        <v>777.3</v>
      </c>
      <c r="P45" s="9"/>
      <c r="Q45" s="9"/>
    </row>
    <row r="46" spans="3:17" x14ac:dyDescent="0.25">
      <c r="C46" s="9" t="s">
        <v>222</v>
      </c>
      <c r="D46" s="9" t="s">
        <v>34</v>
      </c>
      <c r="E46" s="9" t="s">
        <v>31</v>
      </c>
      <c r="F46" s="9">
        <v>500</v>
      </c>
      <c r="G46" s="9">
        <v>45.4</v>
      </c>
      <c r="H46" s="9">
        <v>409.2</v>
      </c>
      <c r="I46" s="10">
        <f t="shared" si="0"/>
        <v>131.44404240000003</v>
      </c>
      <c r="J46" s="9">
        <v>2E-3</v>
      </c>
      <c r="K46" s="9">
        <f t="shared" si="1"/>
        <v>6.1094819159335288E-4</v>
      </c>
      <c r="L46" s="9">
        <f t="shared" si="2"/>
        <v>0.13144404240000002</v>
      </c>
      <c r="M46" s="9">
        <v>0.25</v>
      </c>
      <c r="N46" s="9">
        <f>Tabelle1[[#This Row],[Rohrrauheit-Koeffizient k]]/Tabelle1[[#This Row],[Innen-Durchmesser '[mm']]]</f>
        <v>4.8875855327468231E-6</v>
      </c>
      <c r="O46" s="9">
        <f>(Tabelle1[[#This Row],[Wanddicke '[mm']  ]]+(Tabelle1[[#This Row],[Innen-Durchmesser '[mm']]])*2)</f>
        <v>863.8</v>
      </c>
      <c r="P46" s="9"/>
      <c r="Q46" s="9"/>
    </row>
    <row r="47" spans="3:17" x14ac:dyDescent="0.25">
      <c r="C47" s="9" t="s">
        <v>35</v>
      </c>
      <c r="D47" s="9" t="s">
        <v>21</v>
      </c>
      <c r="E47" s="9" t="s">
        <v>36</v>
      </c>
      <c r="F47" s="9">
        <v>48</v>
      </c>
      <c r="G47" s="9">
        <v>3</v>
      </c>
      <c r="H47" s="9">
        <f t="shared" ref="H47:H92" si="3">F47-(2*G47)</f>
        <v>42</v>
      </c>
      <c r="I47" s="10">
        <f t="shared" si="0"/>
        <v>1.3847400000000001</v>
      </c>
      <c r="J47" s="9">
        <v>0.2</v>
      </c>
      <c r="K47" s="9">
        <f t="shared" si="1"/>
        <v>5.9523809523809521E-3</v>
      </c>
      <c r="L47" s="9">
        <f t="shared" si="2"/>
        <v>1.3847400000000002E-3</v>
      </c>
      <c r="M47" s="9">
        <v>0.25</v>
      </c>
      <c r="N47" s="9">
        <f>Tabelle1[[#This Row],[Rohrrauheit-Koeffizient k]]/Tabelle1[[#This Row],[Innen-Durchmesser '[mm']]]</f>
        <v>4.7619047619047623E-3</v>
      </c>
      <c r="O47" s="9">
        <f>(Tabelle1[[#This Row],[Wanddicke '[mm']  ]]+(Tabelle1[[#This Row],[Innen-Durchmesser '[mm']]])*2)</f>
        <v>87</v>
      </c>
      <c r="P47" s="9">
        <f>'7'!P13</f>
        <v>400</v>
      </c>
      <c r="Q47" s="9">
        <f>Tabelle1[[#This Row],[Baulänge Armaturen Schieber&amp;Rück-schlagklappe '[mm']]]+Tabelle1[[#This Row],[Höhe Bogen 3*D '[mm']]]</f>
        <v>487</v>
      </c>
    </row>
    <row r="48" spans="3:17" x14ac:dyDescent="0.25">
      <c r="C48" s="9" t="s">
        <v>35</v>
      </c>
      <c r="D48" s="9" t="s">
        <v>22</v>
      </c>
      <c r="E48" s="9" t="s">
        <v>36</v>
      </c>
      <c r="F48" s="9">
        <v>58</v>
      </c>
      <c r="G48" s="9">
        <v>3.5</v>
      </c>
      <c r="H48" s="9">
        <f t="shared" si="3"/>
        <v>51</v>
      </c>
      <c r="I48" s="10">
        <f t="shared" si="0"/>
        <v>2.041785</v>
      </c>
      <c r="J48" s="9">
        <v>0.2</v>
      </c>
      <c r="K48" s="9">
        <f t="shared" si="1"/>
        <v>4.9019607843137254E-3</v>
      </c>
      <c r="L48" s="9">
        <f t="shared" si="2"/>
        <v>2.041785E-3</v>
      </c>
      <c r="M48" s="9">
        <v>0.25</v>
      </c>
      <c r="N48" s="9">
        <f>Tabelle1[[#This Row],[Rohrrauheit-Koeffizient k]]/Tabelle1[[#This Row],[Innen-Durchmesser '[mm']]]</f>
        <v>3.9215686274509803E-3</v>
      </c>
      <c r="O48" s="9">
        <f>(Tabelle1[[#This Row],[Wanddicke '[mm']  ]]+(Tabelle1[[#This Row],[Innen-Durchmesser '[mm']]])*2)</f>
        <v>105.5</v>
      </c>
      <c r="P48" s="9">
        <f>'7'!P14</f>
        <v>460</v>
      </c>
      <c r="Q48" s="9">
        <f>Tabelle1[[#This Row],[Baulänge Armaturen Schieber&amp;Rück-schlagklappe '[mm']]]+Tabelle1[[#This Row],[Höhe Bogen 3*D '[mm']]]</f>
        <v>565.5</v>
      </c>
    </row>
    <row r="49" spans="3:17" x14ac:dyDescent="0.25">
      <c r="C49" s="9" t="s">
        <v>35</v>
      </c>
      <c r="D49" s="9" t="s">
        <v>37</v>
      </c>
      <c r="E49" s="9" t="s">
        <v>36</v>
      </c>
      <c r="F49" s="9">
        <v>78</v>
      </c>
      <c r="G49" s="9">
        <v>3.5</v>
      </c>
      <c r="H49" s="9">
        <f t="shared" si="3"/>
        <v>71</v>
      </c>
      <c r="I49" s="10">
        <f t="shared" si="0"/>
        <v>3.9571849999999995</v>
      </c>
      <c r="J49" s="9">
        <v>0.2</v>
      </c>
      <c r="K49" s="9">
        <f t="shared" si="1"/>
        <v>3.5211267605633804E-3</v>
      </c>
      <c r="L49" s="9">
        <f t="shared" si="2"/>
        <v>3.9571849999999993E-3</v>
      </c>
      <c r="M49" s="9">
        <v>0.25</v>
      </c>
      <c r="N49" s="9">
        <f>Tabelle1[[#This Row],[Rohrrauheit-Koeffizient k]]/Tabelle1[[#This Row],[Innen-Durchmesser '[mm']]]</f>
        <v>2.8169014084507044E-3</v>
      </c>
      <c r="O49" s="9">
        <f>(Tabelle1[[#This Row],[Wanddicke '[mm']  ]]+(Tabelle1[[#This Row],[Innen-Durchmesser '[mm']]])*2)</f>
        <v>145.5</v>
      </c>
      <c r="P49" s="9">
        <f>'7'!P15</f>
        <v>580</v>
      </c>
      <c r="Q49" s="9">
        <f>Tabelle1[[#This Row],[Baulänge Armaturen Schieber&amp;Rück-schlagklappe '[mm']]]+Tabelle1[[#This Row],[Höhe Bogen 3*D '[mm']]]</f>
        <v>725.5</v>
      </c>
    </row>
    <row r="50" spans="3:17" x14ac:dyDescent="0.25">
      <c r="C50" s="9" t="s">
        <v>35</v>
      </c>
      <c r="D50" s="9" t="s">
        <v>24</v>
      </c>
      <c r="E50" s="9" t="s">
        <v>36</v>
      </c>
      <c r="F50" s="9">
        <v>83</v>
      </c>
      <c r="G50" s="9">
        <v>3.5</v>
      </c>
      <c r="H50" s="9">
        <f t="shared" si="3"/>
        <v>76</v>
      </c>
      <c r="I50" s="10">
        <f t="shared" si="0"/>
        <v>4.53416</v>
      </c>
      <c r="J50" s="9">
        <v>0.2</v>
      </c>
      <c r="K50" s="9">
        <f t="shared" si="1"/>
        <v>3.2894736842105261E-3</v>
      </c>
      <c r="L50" s="9">
        <f t="shared" si="2"/>
        <v>4.5341599999999998E-3</v>
      </c>
      <c r="M50" s="9">
        <v>0.25</v>
      </c>
      <c r="N50" s="9">
        <f>Tabelle1[[#This Row],[Rohrrauheit-Koeffizient k]]/Tabelle1[[#This Row],[Innen-Durchmesser '[mm']]]</f>
        <v>2.631578947368421E-3</v>
      </c>
      <c r="O50" s="9">
        <f>(Tabelle1[[#This Row],[Wanddicke '[mm']  ]]+(Tabelle1[[#This Row],[Innen-Durchmesser '[mm']]])*2)</f>
        <v>155.5</v>
      </c>
      <c r="P50" s="9">
        <f>'7'!P16</f>
        <v>620</v>
      </c>
      <c r="Q50" s="9">
        <f>Tabelle1[[#This Row],[Baulänge Armaturen Schieber&amp;Rück-schlagklappe '[mm']]]+Tabelle1[[#This Row],[Höhe Bogen 3*D '[mm']]]</f>
        <v>775.5</v>
      </c>
    </row>
    <row r="51" spans="3:17" x14ac:dyDescent="0.25">
      <c r="C51" s="9" t="s">
        <v>35</v>
      </c>
      <c r="D51" s="9" t="s">
        <v>25</v>
      </c>
      <c r="E51" s="9" t="s">
        <v>36</v>
      </c>
      <c r="F51" s="9">
        <v>110</v>
      </c>
      <c r="G51" s="9">
        <v>3.5</v>
      </c>
      <c r="H51" s="9">
        <f t="shared" si="3"/>
        <v>103</v>
      </c>
      <c r="I51" s="10">
        <f t="shared" si="0"/>
        <v>8.3280649999999987</v>
      </c>
      <c r="J51" s="9">
        <v>0.2</v>
      </c>
      <c r="K51" s="9">
        <f t="shared" si="1"/>
        <v>2.4271844660194173E-3</v>
      </c>
      <c r="L51" s="9">
        <f t="shared" si="2"/>
        <v>8.3280649999999991E-3</v>
      </c>
      <c r="M51" s="9">
        <v>0.25</v>
      </c>
      <c r="N51" s="9">
        <f>Tabelle1[[#This Row],[Rohrrauheit-Koeffizient k]]/Tabelle1[[#This Row],[Innen-Durchmesser '[mm']]]</f>
        <v>1.9417475728155341E-3</v>
      </c>
      <c r="O51" s="9">
        <f>(Tabelle1[[#This Row],[Wanddicke '[mm']  ]]+(Tabelle1[[#This Row],[Innen-Durchmesser '[mm']]])*2)</f>
        <v>209.5</v>
      </c>
      <c r="P51" s="9">
        <f>'7'!P17</f>
        <v>700</v>
      </c>
      <c r="Q51" s="9">
        <f>Tabelle1[[#This Row],[Baulänge Armaturen Schieber&amp;Rück-schlagklappe '[mm']]]+Tabelle1[[#This Row],[Höhe Bogen 3*D '[mm']]]</f>
        <v>909.5</v>
      </c>
    </row>
    <row r="52" spans="3:17" x14ac:dyDescent="0.25">
      <c r="C52" s="9" t="s">
        <v>35</v>
      </c>
      <c r="D52" s="9" t="s">
        <v>26</v>
      </c>
      <c r="E52" s="9" t="s">
        <v>36</v>
      </c>
      <c r="F52" s="9">
        <v>135</v>
      </c>
      <c r="G52" s="9">
        <v>4</v>
      </c>
      <c r="H52" s="9">
        <f t="shared" si="3"/>
        <v>127</v>
      </c>
      <c r="I52" s="10">
        <f t="shared" si="0"/>
        <v>12.661265000000002</v>
      </c>
      <c r="J52" s="9">
        <v>0.2</v>
      </c>
      <c r="K52" s="9">
        <f t="shared" si="1"/>
        <v>1.968503937007874E-3</v>
      </c>
      <c r="L52" s="9">
        <f t="shared" si="2"/>
        <v>1.2661265000000001E-2</v>
      </c>
      <c r="M52" s="9">
        <v>0.25</v>
      </c>
      <c r="N52" s="9">
        <f>Tabelle1[[#This Row],[Rohrrauheit-Koeffizient k]]/Tabelle1[[#This Row],[Innen-Durchmesser '[mm']]]</f>
        <v>1.5748031496062994E-3</v>
      </c>
      <c r="O52" s="9">
        <f>(Tabelle1[[#This Row],[Wanddicke '[mm']  ]]+(Tabelle1[[#This Row],[Innen-Durchmesser '[mm']]])*2)</f>
        <v>258</v>
      </c>
      <c r="P52" s="9">
        <f>'7'!P18</f>
        <v>800</v>
      </c>
      <c r="Q52" s="9">
        <f>Tabelle1[[#This Row],[Baulänge Armaturen Schieber&amp;Rück-schlagklappe '[mm']]]+Tabelle1[[#This Row],[Höhe Bogen 3*D '[mm']]]</f>
        <v>1058</v>
      </c>
    </row>
    <row r="53" spans="3:17" x14ac:dyDescent="0.25">
      <c r="C53" s="9" t="s">
        <v>35</v>
      </c>
      <c r="D53" s="9" t="s">
        <v>27</v>
      </c>
      <c r="E53" s="9" t="s">
        <v>36</v>
      </c>
      <c r="F53" s="9">
        <v>160</v>
      </c>
      <c r="G53" s="9">
        <v>4</v>
      </c>
      <c r="H53" s="9">
        <f t="shared" si="3"/>
        <v>152</v>
      </c>
      <c r="I53" s="10">
        <f t="shared" si="0"/>
        <v>18.13664</v>
      </c>
      <c r="J53" s="9">
        <v>0.2</v>
      </c>
      <c r="K53" s="9">
        <f t="shared" si="1"/>
        <v>1.6447368421052631E-3</v>
      </c>
      <c r="L53" s="9">
        <f t="shared" si="2"/>
        <v>1.8136639999999999E-2</v>
      </c>
      <c r="M53" s="9">
        <v>0.25</v>
      </c>
      <c r="N53" s="9">
        <f>Tabelle1[[#This Row],[Rohrrauheit-Koeffizient k]]/Tabelle1[[#This Row],[Innen-Durchmesser '[mm']]]</f>
        <v>1.3157894736842105E-3</v>
      </c>
      <c r="O53" s="9">
        <f>(Tabelle1[[#This Row],[Wanddicke '[mm']  ]]+(Tabelle1[[#This Row],[Innen-Durchmesser '[mm']]])*2)</f>
        <v>308</v>
      </c>
      <c r="P53" s="9">
        <f>'7'!P19</f>
        <v>960</v>
      </c>
      <c r="Q53" s="9">
        <f>Tabelle1[[#This Row],[Baulänge Armaturen Schieber&amp;Rück-schlagklappe '[mm']]]+Tabelle1[[#This Row],[Höhe Bogen 3*D '[mm']]]</f>
        <v>1268</v>
      </c>
    </row>
    <row r="54" spans="3:17" x14ac:dyDescent="0.25">
      <c r="C54" s="9" t="s">
        <v>35</v>
      </c>
      <c r="D54" s="9" t="s">
        <v>28</v>
      </c>
      <c r="E54" s="9" t="s">
        <v>36</v>
      </c>
      <c r="F54" s="9">
        <v>210</v>
      </c>
      <c r="G54" s="9">
        <v>5</v>
      </c>
      <c r="H54" s="9">
        <f t="shared" si="3"/>
        <v>200</v>
      </c>
      <c r="I54" s="10">
        <f t="shared" si="0"/>
        <v>31.400000000000006</v>
      </c>
      <c r="J54" s="9">
        <v>0.2</v>
      </c>
      <c r="K54" s="9">
        <f t="shared" si="1"/>
        <v>1.25E-3</v>
      </c>
      <c r="L54" s="9">
        <f t="shared" si="2"/>
        <v>3.1400000000000004E-2</v>
      </c>
      <c r="M54" s="9">
        <v>0.25</v>
      </c>
      <c r="N54" s="9">
        <f>Tabelle1[[#This Row],[Rohrrauheit-Koeffizient k]]/Tabelle1[[#This Row],[Innen-Durchmesser '[mm']]]</f>
        <v>1E-3</v>
      </c>
      <c r="O54" s="9"/>
      <c r="P54" s="9"/>
      <c r="Q54" s="9"/>
    </row>
    <row r="55" spans="3:17" x14ac:dyDescent="0.25">
      <c r="C55" s="9" t="s">
        <v>35</v>
      </c>
      <c r="D55" s="9" t="s">
        <v>29</v>
      </c>
      <c r="E55" s="9" t="s">
        <v>36</v>
      </c>
      <c r="F55" s="9">
        <v>274</v>
      </c>
      <c r="G55" s="9">
        <v>5.5</v>
      </c>
      <c r="H55" s="9">
        <f t="shared" si="3"/>
        <v>263</v>
      </c>
      <c r="I55" s="10">
        <f t="shared" si="0"/>
        <v>54.297665000000009</v>
      </c>
      <c r="J55" s="9">
        <v>0.2</v>
      </c>
      <c r="K55" s="9">
        <f t="shared" si="1"/>
        <v>9.5057034220532319E-4</v>
      </c>
      <c r="L55" s="9">
        <f t="shared" si="2"/>
        <v>5.4297665000000009E-2</v>
      </c>
      <c r="M55" s="9">
        <v>0.25</v>
      </c>
      <c r="N55" s="9">
        <f>Tabelle1[[#This Row],[Rohrrauheit-Koeffizient k]]/Tabelle1[[#This Row],[Innen-Durchmesser '[mm']]]</f>
        <v>7.6045627376425862E-4</v>
      </c>
      <c r="O55" s="9"/>
      <c r="P55" s="9"/>
      <c r="Q55" s="9"/>
    </row>
    <row r="56" spans="3:17" x14ac:dyDescent="0.25">
      <c r="C56" s="9" t="s">
        <v>35</v>
      </c>
      <c r="D56" s="9" t="s">
        <v>32</v>
      </c>
      <c r="E56" s="9" t="s">
        <v>36</v>
      </c>
      <c r="F56" s="9">
        <v>326</v>
      </c>
      <c r="G56" s="9">
        <v>6</v>
      </c>
      <c r="H56" s="9">
        <f t="shared" si="3"/>
        <v>314</v>
      </c>
      <c r="I56" s="10">
        <f t="shared" si="0"/>
        <v>77.397859999999994</v>
      </c>
      <c r="J56" s="9">
        <v>0.2</v>
      </c>
      <c r="K56" s="9">
        <f t="shared" si="1"/>
        <v>7.9617834394904463E-4</v>
      </c>
      <c r="L56" s="9">
        <f t="shared" si="2"/>
        <v>7.7397859999999999E-2</v>
      </c>
      <c r="M56" s="9">
        <v>0.25</v>
      </c>
      <c r="N56" s="9">
        <f>Tabelle1[[#This Row],[Rohrrauheit-Koeffizient k]]/Tabelle1[[#This Row],[Innen-Durchmesser '[mm']]]</f>
        <v>6.3694267515923574E-4</v>
      </c>
      <c r="O56" s="9"/>
      <c r="P56" s="9"/>
      <c r="Q56" s="9"/>
    </row>
    <row r="57" spans="3:17" x14ac:dyDescent="0.25">
      <c r="C57" s="9" t="s">
        <v>35</v>
      </c>
      <c r="D57" s="9" t="s">
        <v>34</v>
      </c>
      <c r="E57" s="9" t="s">
        <v>36</v>
      </c>
      <c r="F57" s="9">
        <v>429</v>
      </c>
      <c r="G57" s="9">
        <v>8.1</v>
      </c>
      <c r="H57" s="9">
        <f t="shared" si="3"/>
        <v>412.8</v>
      </c>
      <c r="I57" s="10">
        <f t="shared" si="0"/>
        <v>133.76701439999999</v>
      </c>
      <c r="J57" s="9">
        <v>0.2</v>
      </c>
      <c r="K57" s="9">
        <f t="shared" si="1"/>
        <v>6.0562015503875968E-4</v>
      </c>
      <c r="L57" s="9">
        <f t="shared" si="2"/>
        <v>0.13376701439999999</v>
      </c>
      <c r="M57" s="9">
        <v>0.25</v>
      </c>
      <c r="N57" s="9">
        <f>Tabelle1[[#This Row],[Rohrrauheit-Koeffizient k]]/Tabelle1[[#This Row],[Innen-Durchmesser '[mm']]]</f>
        <v>4.8449612403100775E-4</v>
      </c>
      <c r="O57" s="9"/>
      <c r="P57" s="9"/>
      <c r="Q57" s="9"/>
    </row>
    <row r="58" spans="3:17" x14ac:dyDescent="0.25">
      <c r="C58" s="9" t="s">
        <v>35</v>
      </c>
      <c r="D58" s="9" t="s">
        <v>38</v>
      </c>
      <c r="E58" s="9" t="s">
        <v>36</v>
      </c>
      <c r="F58" s="9">
        <v>532</v>
      </c>
      <c r="G58" s="9">
        <v>9</v>
      </c>
      <c r="H58" s="9">
        <f t="shared" si="3"/>
        <v>514</v>
      </c>
      <c r="I58" s="10">
        <f t="shared" si="0"/>
        <v>207.39385999999999</v>
      </c>
      <c r="J58" s="9">
        <v>0.2</v>
      </c>
      <c r="K58" s="9">
        <f t="shared" si="1"/>
        <v>4.8638132295719845E-4</v>
      </c>
      <c r="L58" s="9">
        <f t="shared" si="2"/>
        <v>0.20739385999999999</v>
      </c>
      <c r="M58" s="9">
        <v>0.25</v>
      </c>
      <c r="N58" s="9">
        <f>Tabelle1[[#This Row],[Rohrrauheit-Koeffizient k]]/Tabelle1[[#This Row],[Innen-Durchmesser '[mm']]]</f>
        <v>3.8910505836575878E-4</v>
      </c>
      <c r="O58" s="9"/>
      <c r="P58" s="9"/>
      <c r="Q58" s="9"/>
    </row>
    <row r="59" spans="3:17" x14ac:dyDescent="0.25">
      <c r="C59" s="9" t="s">
        <v>35</v>
      </c>
      <c r="D59" s="9" t="s">
        <v>39</v>
      </c>
      <c r="E59" s="9" t="s">
        <v>36</v>
      </c>
      <c r="F59" s="9">
        <v>635</v>
      </c>
      <c r="G59" s="9">
        <v>9.9</v>
      </c>
      <c r="H59" s="9">
        <f t="shared" si="3"/>
        <v>615.20000000000005</v>
      </c>
      <c r="I59" s="10">
        <f t="shared" si="0"/>
        <v>297.09976640000008</v>
      </c>
      <c r="J59" s="9">
        <v>0.2</v>
      </c>
      <c r="K59" s="9">
        <f t="shared" si="1"/>
        <v>4.0637191157347202E-4</v>
      </c>
      <c r="L59" s="9">
        <f t="shared" si="2"/>
        <v>0.29709976640000008</v>
      </c>
      <c r="M59" s="9">
        <v>0.25</v>
      </c>
      <c r="N59" s="9">
        <f>Tabelle1[[#This Row],[Rohrrauheit-Koeffizient k]]/Tabelle1[[#This Row],[Innen-Durchmesser '[mm']]]</f>
        <v>3.2509752925877764E-4</v>
      </c>
      <c r="O59" s="9"/>
      <c r="P59" s="9"/>
      <c r="Q59" s="9"/>
    </row>
    <row r="60" spans="3:17" x14ac:dyDescent="0.25">
      <c r="C60" s="9" t="s">
        <v>375</v>
      </c>
      <c r="D60" s="9" t="s">
        <v>15</v>
      </c>
      <c r="E60" s="9" t="s">
        <v>40</v>
      </c>
      <c r="F60" s="9">
        <v>17.2</v>
      </c>
      <c r="G60" s="9">
        <v>1.8</v>
      </c>
      <c r="H60" s="9">
        <f t="shared" si="3"/>
        <v>13.6</v>
      </c>
      <c r="I60" s="10">
        <f t="shared" si="0"/>
        <v>0.14519359999999998</v>
      </c>
      <c r="J60" s="9">
        <v>0.05</v>
      </c>
      <c r="K60" s="9">
        <f>M60/H60</f>
        <v>1.8382352941176471E-2</v>
      </c>
      <c r="L60" s="9">
        <f t="shared" si="2"/>
        <v>1.4519359999999999E-4</v>
      </c>
      <c r="M60" s="9">
        <v>0.25</v>
      </c>
      <c r="N60" s="9">
        <f>Tabelle1[[#This Row],[Rohrrauheit-Koeffizient k]]/Tabelle1[[#This Row],[Innen-Durchmesser '[mm']]]</f>
        <v>3.6764705882352945E-3</v>
      </c>
      <c r="O60" s="9">
        <f>(Tabelle1[[#This Row],[Wanddicke '[mm']  ]]+(Tabelle1[[#This Row],[Innen-Durchmesser '[mm']]])*2)</f>
        <v>29</v>
      </c>
      <c r="P60" s="9"/>
      <c r="Q60" s="9"/>
    </row>
    <row r="61" spans="3:17" x14ac:dyDescent="0.25">
      <c r="C61" s="9" t="s">
        <v>375</v>
      </c>
      <c r="D61" s="9" t="s">
        <v>17</v>
      </c>
      <c r="E61" s="9" t="s">
        <v>40</v>
      </c>
      <c r="F61" s="9">
        <v>21.3</v>
      </c>
      <c r="G61" s="9">
        <v>2</v>
      </c>
      <c r="H61" s="9">
        <f t="shared" si="3"/>
        <v>17.3</v>
      </c>
      <c r="I61" s="10">
        <f t="shared" si="0"/>
        <v>0.23494264999999998</v>
      </c>
      <c r="J61" s="9">
        <v>0.05</v>
      </c>
      <c r="K61" s="9">
        <f t="shared" ref="K61:K92" si="4">M61/H61</f>
        <v>1.4450867052023121E-2</v>
      </c>
      <c r="L61" s="9">
        <f t="shared" si="2"/>
        <v>2.3494264999999998E-4</v>
      </c>
      <c r="M61" s="9">
        <v>0.25</v>
      </c>
      <c r="N61" s="9">
        <f>Tabelle1[[#This Row],[Rohrrauheit-Koeffizient k]]/Tabelle1[[#This Row],[Innen-Durchmesser '[mm']]]</f>
        <v>2.8901734104046241E-3</v>
      </c>
      <c r="O61" s="9">
        <f>(Tabelle1[[#This Row],[Wanddicke '[mm']  ]]+(Tabelle1[[#This Row],[Innen-Durchmesser '[mm']]])*2)</f>
        <v>36.6</v>
      </c>
      <c r="P61" s="9">
        <f>'7'!P9</f>
        <v>260</v>
      </c>
      <c r="Q61" s="9">
        <f>Tabelle1[[#This Row],[Baulänge Armaturen Schieber&amp;Rück-schlagklappe '[mm']]]+Tabelle1[[#This Row],[Höhe Bogen 3*D '[mm']]]</f>
        <v>296.60000000000002</v>
      </c>
    </row>
    <row r="62" spans="3:17" x14ac:dyDescent="0.25">
      <c r="C62" s="9" t="s">
        <v>375</v>
      </c>
      <c r="D62" s="9" t="s">
        <v>18</v>
      </c>
      <c r="E62" s="9" t="s">
        <v>40</v>
      </c>
      <c r="F62" s="9">
        <v>26.9</v>
      </c>
      <c r="G62" s="9">
        <v>2</v>
      </c>
      <c r="H62" s="9">
        <f t="shared" si="3"/>
        <v>22.9</v>
      </c>
      <c r="I62" s="10">
        <f t="shared" si="0"/>
        <v>0.41166185000000005</v>
      </c>
      <c r="J62" s="9">
        <v>0.05</v>
      </c>
      <c r="K62" s="9">
        <f t="shared" si="4"/>
        <v>1.0917030567685591E-2</v>
      </c>
      <c r="L62" s="9">
        <f t="shared" si="2"/>
        <v>4.1166185000000003E-4</v>
      </c>
      <c r="M62" s="9">
        <v>0.25</v>
      </c>
      <c r="N62" s="9">
        <f>Tabelle1[[#This Row],[Rohrrauheit-Koeffizient k]]/Tabelle1[[#This Row],[Innen-Durchmesser '[mm']]]</f>
        <v>2.1834061135371182E-3</v>
      </c>
      <c r="O62" s="9">
        <f>(Tabelle1[[#This Row],[Wanddicke '[mm']  ]]+(Tabelle1[[#This Row],[Innen-Durchmesser '[mm']]])*2)</f>
        <v>47.8</v>
      </c>
      <c r="P62" s="9">
        <f>'7'!P10</f>
        <v>300</v>
      </c>
      <c r="Q62" s="9">
        <f>Tabelle1[[#This Row],[Baulänge Armaturen Schieber&amp;Rück-schlagklappe '[mm']]]+Tabelle1[[#This Row],[Höhe Bogen 3*D '[mm']]]</f>
        <v>347.8</v>
      </c>
    </row>
    <row r="63" spans="3:17" x14ac:dyDescent="0.25">
      <c r="C63" s="9" t="s">
        <v>375</v>
      </c>
      <c r="D63" s="9" t="s">
        <v>19</v>
      </c>
      <c r="E63" s="9" t="s">
        <v>40</v>
      </c>
      <c r="F63" s="9">
        <v>33.700000000000003</v>
      </c>
      <c r="G63" s="9">
        <v>2</v>
      </c>
      <c r="H63" s="9">
        <f t="shared" si="3"/>
        <v>29.700000000000003</v>
      </c>
      <c r="I63" s="10">
        <f t="shared" si="0"/>
        <v>0.69244065000000021</v>
      </c>
      <c r="J63" s="9">
        <v>0.05</v>
      </c>
      <c r="K63" s="9">
        <f t="shared" si="4"/>
        <v>8.4175084175084174E-3</v>
      </c>
      <c r="L63" s="9">
        <f t="shared" si="2"/>
        <v>6.9244065000000023E-4</v>
      </c>
      <c r="M63" s="9">
        <v>0.25</v>
      </c>
      <c r="N63" s="9">
        <f>Tabelle1[[#This Row],[Rohrrauheit-Koeffizient k]]/Tabelle1[[#This Row],[Innen-Durchmesser '[mm']]]</f>
        <v>1.6835016835016834E-3</v>
      </c>
      <c r="O63" s="9">
        <f>(Tabelle1[[#This Row],[Wanddicke '[mm']  ]]+(Tabelle1[[#This Row],[Innen-Durchmesser '[mm']]])*2)</f>
        <v>61.400000000000006</v>
      </c>
      <c r="P63" s="9">
        <f>'7'!P11</f>
        <v>320</v>
      </c>
      <c r="Q63" s="9">
        <f>Tabelle1[[#This Row],[Baulänge Armaturen Schieber&amp;Rück-schlagklappe '[mm']]]+Tabelle1[[#This Row],[Höhe Bogen 3*D '[mm']]]</f>
        <v>381.4</v>
      </c>
    </row>
    <row r="64" spans="3:17" x14ac:dyDescent="0.25">
      <c r="C64" s="9" t="s">
        <v>375</v>
      </c>
      <c r="D64" s="9" t="s">
        <v>20</v>
      </c>
      <c r="E64" s="9" t="s">
        <v>40</v>
      </c>
      <c r="F64" s="9">
        <v>42.4</v>
      </c>
      <c r="G64" s="9">
        <v>2.2999999999999998</v>
      </c>
      <c r="H64" s="9">
        <f t="shared" si="3"/>
        <v>37.799999999999997</v>
      </c>
      <c r="I64" s="10">
        <f t="shared" si="0"/>
        <v>1.1216394000000001</v>
      </c>
      <c r="J64" s="9">
        <v>0.05</v>
      </c>
      <c r="K64" s="9">
        <f t="shared" si="4"/>
        <v>6.6137566137566143E-3</v>
      </c>
      <c r="L64" s="9">
        <f t="shared" si="2"/>
        <v>1.1216394000000001E-3</v>
      </c>
      <c r="M64" s="9">
        <v>0.25</v>
      </c>
      <c r="N64" s="9">
        <f>Tabelle1[[#This Row],[Rohrrauheit-Koeffizient k]]/Tabelle1[[#This Row],[Innen-Durchmesser '[mm']]]</f>
        <v>1.3227513227513229E-3</v>
      </c>
      <c r="O64" s="9">
        <f>(Tabelle1[[#This Row],[Wanddicke '[mm']  ]]+(Tabelle1[[#This Row],[Innen-Durchmesser '[mm']]])*2)</f>
        <v>77.899999999999991</v>
      </c>
      <c r="P64" s="9">
        <f>'7'!P12</f>
        <v>360</v>
      </c>
      <c r="Q64" s="9">
        <f>Tabelle1[[#This Row],[Baulänge Armaturen Schieber&amp;Rück-schlagklappe '[mm']]]+Tabelle1[[#This Row],[Höhe Bogen 3*D '[mm']]]</f>
        <v>437.9</v>
      </c>
    </row>
    <row r="65" spans="3:17" x14ac:dyDescent="0.25">
      <c r="C65" s="9" t="s">
        <v>375</v>
      </c>
      <c r="D65" s="9" t="s">
        <v>21</v>
      </c>
      <c r="E65" s="9" t="s">
        <v>40</v>
      </c>
      <c r="F65" s="9">
        <v>48.3</v>
      </c>
      <c r="G65" s="9">
        <v>2.2999999999999998</v>
      </c>
      <c r="H65" s="9">
        <f t="shared" si="3"/>
        <v>43.699999999999996</v>
      </c>
      <c r="I65" s="10">
        <f t="shared" si="0"/>
        <v>1.4991066499999999</v>
      </c>
      <c r="J65" s="9">
        <v>0.05</v>
      </c>
      <c r="K65" s="9">
        <f t="shared" si="4"/>
        <v>5.720823798627003E-3</v>
      </c>
      <c r="L65" s="9">
        <f t="shared" si="2"/>
        <v>1.4991066499999998E-3</v>
      </c>
      <c r="M65" s="9">
        <v>0.25</v>
      </c>
      <c r="N65" s="9">
        <f>Tabelle1[[#This Row],[Rohrrauheit-Koeffizient k]]/Tabelle1[[#This Row],[Innen-Durchmesser '[mm']]]</f>
        <v>1.1441647597254007E-3</v>
      </c>
      <c r="O65" s="9">
        <f>(Tabelle1[[#This Row],[Wanddicke '[mm']  ]]+(Tabelle1[[#This Row],[Innen-Durchmesser '[mm']]])*2)</f>
        <v>89.699999999999989</v>
      </c>
      <c r="P65" s="9">
        <f>'7'!P13</f>
        <v>400</v>
      </c>
      <c r="Q65" s="9">
        <f>Tabelle1[[#This Row],[Baulänge Armaturen Schieber&amp;Rück-schlagklappe '[mm']]]+Tabelle1[[#This Row],[Höhe Bogen 3*D '[mm']]]</f>
        <v>489.7</v>
      </c>
    </row>
    <row r="66" spans="3:17" x14ac:dyDescent="0.25">
      <c r="C66" s="9" t="s">
        <v>375</v>
      </c>
      <c r="D66" s="9" t="s">
        <v>22</v>
      </c>
      <c r="E66" s="9" t="s">
        <v>40</v>
      </c>
      <c r="F66" s="9">
        <v>60.3</v>
      </c>
      <c r="G66" s="9">
        <v>2.2999999999999998</v>
      </c>
      <c r="H66" s="9">
        <f t="shared" si="3"/>
        <v>55.699999999999996</v>
      </c>
      <c r="I66" s="10">
        <f t="shared" si="0"/>
        <v>2.4354546499999992</v>
      </c>
      <c r="J66" s="9">
        <v>0.05</v>
      </c>
      <c r="K66" s="9">
        <f t="shared" si="4"/>
        <v>4.4883303411131061E-3</v>
      </c>
      <c r="L66" s="9">
        <f t="shared" si="2"/>
        <v>2.4354546499999992E-3</v>
      </c>
      <c r="M66" s="9">
        <v>0.25</v>
      </c>
      <c r="N66" s="9">
        <f>Tabelle1[[#This Row],[Rohrrauheit-Koeffizient k]]/Tabelle1[[#This Row],[Innen-Durchmesser '[mm']]]</f>
        <v>8.9766606822262133E-4</v>
      </c>
      <c r="O66" s="9">
        <f>(Tabelle1[[#This Row],[Wanddicke '[mm']  ]]+(Tabelle1[[#This Row],[Innen-Durchmesser '[mm']]])*2)</f>
        <v>113.69999999999999</v>
      </c>
      <c r="P66" s="9">
        <f>'7'!P14</f>
        <v>460</v>
      </c>
      <c r="Q66" s="9">
        <f>Tabelle1[[#This Row],[Baulänge Armaturen Schieber&amp;Rück-schlagklappe '[mm']]]+Tabelle1[[#This Row],[Höhe Bogen 3*D '[mm']]]</f>
        <v>573.70000000000005</v>
      </c>
    </row>
    <row r="67" spans="3:17" x14ac:dyDescent="0.25">
      <c r="C67" s="9" t="s">
        <v>375</v>
      </c>
      <c r="D67" s="9" t="s">
        <v>23</v>
      </c>
      <c r="E67" s="9" t="s">
        <v>40</v>
      </c>
      <c r="F67" s="9">
        <v>76.099999999999994</v>
      </c>
      <c r="G67" s="9">
        <v>2.6</v>
      </c>
      <c r="H67" s="9">
        <f t="shared" si="3"/>
        <v>70.899999999999991</v>
      </c>
      <c r="I67" s="10">
        <f t="shared" ref="I67:I102" si="5">0.785*((H67/1000)^2)*1000</f>
        <v>3.9460458499999986</v>
      </c>
      <c r="J67" s="9">
        <v>0.05</v>
      </c>
      <c r="K67" s="9">
        <f t="shared" si="4"/>
        <v>3.5260930888575464E-3</v>
      </c>
      <c r="L67" s="9">
        <f t="shared" si="2"/>
        <v>3.9460458499999988E-3</v>
      </c>
      <c r="M67" s="9">
        <v>0.25</v>
      </c>
      <c r="N67" s="9">
        <f>Tabelle1[[#This Row],[Rohrrauheit-Koeffizient k]]/Tabelle1[[#This Row],[Innen-Durchmesser '[mm']]]</f>
        <v>7.0521861777150926E-4</v>
      </c>
      <c r="O67" s="9">
        <f>(Tabelle1[[#This Row],[Wanddicke '[mm']  ]]+(Tabelle1[[#This Row],[Innen-Durchmesser '[mm']]])*2)</f>
        <v>144.39999999999998</v>
      </c>
      <c r="P67" s="9">
        <f>'7'!P15</f>
        <v>580</v>
      </c>
      <c r="Q67" s="9">
        <f>Tabelle1[[#This Row],[Baulänge Armaturen Schieber&amp;Rück-schlagklappe '[mm']]]+Tabelle1[[#This Row],[Höhe Bogen 3*D '[mm']]]</f>
        <v>724.4</v>
      </c>
    </row>
    <row r="68" spans="3:17" x14ac:dyDescent="0.25">
      <c r="C68" s="9" t="s">
        <v>375</v>
      </c>
      <c r="D68" s="9" t="s">
        <v>24</v>
      </c>
      <c r="E68" s="9" t="s">
        <v>40</v>
      </c>
      <c r="F68" s="9">
        <v>88.9</v>
      </c>
      <c r="G68" s="9">
        <v>2.9</v>
      </c>
      <c r="H68" s="9">
        <f t="shared" si="3"/>
        <v>83.100000000000009</v>
      </c>
      <c r="I68" s="10">
        <f t="shared" si="5"/>
        <v>5.4209038500000011</v>
      </c>
      <c r="J68" s="9">
        <v>0.05</v>
      </c>
      <c r="K68" s="9">
        <f t="shared" si="4"/>
        <v>3.0084235860409142E-3</v>
      </c>
      <c r="L68" s="9">
        <f t="shared" ref="L68:L92" si="6">(0.785*((H68/1000)^2))</f>
        <v>5.4209038500000013E-3</v>
      </c>
      <c r="M68" s="9">
        <v>0.25</v>
      </c>
      <c r="N68" s="9">
        <f>Tabelle1[[#This Row],[Rohrrauheit-Koeffizient k]]/Tabelle1[[#This Row],[Innen-Durchmesser '[mm']]]</f>
        <v>6.0168471720818293E-4</v>
      </c>
      <c r="O68" s="9">
        <f>(Tabelle1[[#This Row],[Wanddicke '[mm']  ]]+(Tabelle1[[#This Row],[Innen-Durchmesser '[mm']]])*2)</f>
        <v>169.10000000000002</v>
      </c>
      <c r="P68" s="9">
        <f>'7'!P16</f>
        <v>620</v>
      </c>
      <c r="Q68" s="9">
        <f>Tabelle1[[#This Row],[Baulänge Armaturen Schieber&amp;Rück-schlagklappe '[mm']]]+Tabelle1[[#This Row],[Höhe Bogen 3*D '[mm']]]</f>
        <v>789.1</v>
      </c>
    </row>
    <row r="69" spans="3:17" x14ac:dyDescent="0.25">
      <c r="C69" s="9" t="s">
        <v>375</v>
      </c>
      <c r="D69" s="9" t="s">
        <v>25</v>
      </c>
      <c r="E69" s="9" t="s">
        <v>40</v>
      </c>
      <c r="F69" s="9">
        <v>114.3</v>
      </c>
      <c r="G69" s="9">
        <v>3.2</v>
      </c>
      <c r="H69" s="9">
        <f t="shared" si="3"/>
        <v>107.89999999999999</v>
      </c>
      <c r="I69" s="10">
        <f t="shared" si="5"/>
        <v>9.1392918499999993</v>
      </c>
      <c r="J69" s="9">
        <v>0.05</v>
      </c>
      <c r="K69" s="9">
        <f t="shared" si="4"/>
        <v>2.3169601482854497E-3</v>
      </c>
      <c r="L69" s="9">
        <f t="shared" si="6"/>
        <v>9.13929185E-3</v>
      </c>
      <c r="M69" s="9">
        <v>0.25</v>
      </c>
      <c r="N69" s="9">
        <f>Tabelle1[[#This Row],[Rohrrauheit-Koeffizient k]]/Tabelle1[[#This Row],[Innen-Durchmesser '[mm']]]</f>
        <v>4.6339202965708996E-4</v>
      </c>
      <c r="O69" s="9">
        <f>(Tabelle1[[#This Row],[Wanddicke '[mm']  ]]+(Tabelle1[[#This Row],[Innen-Durchmesser '[mm']]])*2)</f>
        <v>218.99999999999997</v>
      </c>
      <c r="P69" s="9">
        <f>'7'!P17</f>
        <v>700</v>
      </c>
      <c r="Q69" s="9">
        <f>Tabelle1[[#This Row],[Baulänge Armaturen Schieber&amp;Rück-schlagklappe '[mm']]]+Tabelle1[[#This Row],[Höhe Bogen 3*D '[mm']]]</f>
        <v>919</v>
      </c>
    </row>
    <row r="70" spans="3:17" x14ac:dyDescent="0.25">
      <c r="C70" s="9" t="s">
        <v>375</v>
      </c>
      <c r="D70" s="9" t="s">
        <v>26</v>
      </c>
      <c r="E70" s="9" t="s">
        <v>40</v>
      </c>
      <c r="F70" s="9">
        <v>139.69999999999999</v>
      </c>
      <c r="G70" s="9">
        <v>3.6</v>
      </c>
      <c r="H70" s="9">
        <f t="shared" si="3"/>
        <v>132.5</v>
      </c>
      <c r="I70" s="10">
        <f t="shared" si="5"/>
        <v>13.781656250000003</v>
      </c>
      <c r="J70" s="9">
        <v>0.05</v>
      </c>
      <c r="K70" s="9">
        <f t="shared" si="4"/>
        <v>1.8867924528301887E-3</v>
      </c>
      <c r="L70" s="9">
        <f t="shared" si="6"/>
        <v>1.3781656250000003E-2</v>
      </c>
      <c r="M70" s="9">
        <v>0.25</v>
      </c>
      <c r="N70" s="9">
        <f>Tabelle1[[#This Row],[Rohrrauheit-Koeffizient k]]/Tabelle1[[#This Row],[Innen-Durchmesser '[mm']]]</f>
        <v>3.7735849056603777E-4</v>
      </c>
      <c r="O70" s="9">
        <f>(Tabelle1[[#This Row],[Wanddicke '[mm']  ]]+(Tabelle1[[#This Row],[Innen-Durchmesser '[mm']]])*2)</f>
        <v>268.60000000000002</v>
      </c>
      <c r="P70" s="9">
        <f>'7'!P18</f>
        <v>800</v>
      </c>
      <c r="Q70" s="9">
        <f>Tabelle1[[#This Row],[Baulänge Armaturen Schieber&amp;Rück-schlagklappe '[mm']]]+Tabelle1[[#This Row],[Höhe Bogen 3*D '[mm']]]</f>
        <v>1068.5999999999999</v>
      </c>
    </row>
    <row r="71" spans="3:17" x14ac:dyDescent="0.25">
      <c r="C71" s="9" t="s">
        <v>375</v>
      </c>
      <c r="D71" s="9" t="s">
        <v>27</v>
      </c>
      <c r="E71" s="9" t="s">
        <v>40</v>
      </c>
      <c r="F71" s="9">
        <v>168.3</v>
      </c>
      <c r="G71" s="9">
        <v>4</v>
      </c>
      <c r="H71" s="9">
        <f t="shared" si="3"/>
        <v>160.30000000000001</v>
      </c>
      <c r="I71" s="10">
        <f t="shared" si="5"/>
        <v>20.171430649999998</v>
      </c>
      <c r="J71" s="9">
        <v>0.05</v>
      </c>
      <c r="K71" s="9">
        <f t="shared" si="4"/>
        <v>1.5595757953836555E-3</v>
      </c>
      <c r="L71" s="9">
        <f t="shared" si="6"/>
        <v>2.0171430649999999E-2</v>
      </c>
      <c r="M71" s="9">
        <v>0.25</v>
      </c>
      <c r="N71" s="9">
        <f>Tabelle1[[#This Row],[Rohrrauheit-Koeffizient k]]/Tabelle1[[#This Row],[Innen-Durchmesser '[mm']]]</f>
        <v>3.1191515907673113E-4</v>
      </c>
      <c r="O71" s="9">
        <f>(Tabelle1[[#This Row],[Wanddicke '[mm']  ]]+(Tabelle1[[#This Row],[Innen-Durchmesser '[mm']]])*2)</f>
        <v>324.60000000000002</v>
      </c>
      <c r="P71" s="9">
        <f>'7'!P19</f>
        <v>960</v>
      </c>
      <c r="Q71" s="9">
        <f>Tabelle1[[#This Row],[Baulänge Armaturen Schieber&amp;Rück-schlagklappe '[mm']]]+Tabelle1[[#This Row],[Höhe Bogen 3*D '[mm']]]</f>
        <v>1284.5999999999999</v>
      </c>
    </row>
    <row r="72" spans="3:17" x14ac:dyDescent="0.25">
      <c r="C72" s="9" t="s">
        <v>375</v>
      </c>
      <c r="D72" s="9" t="s">
        <v>28</v>
      </c>
      <c r="E72" s="9" t="s">
        <v>40</v>
      </c>
      <c r="F72" s="9">
        <v>219.1</v>
      </c>
      <c r="G72" s="9">
        <v>4.5</v>
      </c>
      <c r="H72" s="9">
        <f t="shared" si="3"/>
        <v>210.1</v>
      </c>
      <c r="I72" s="10">
        <f t="shared" si="5"/>
        <v>34.651477849999999</v>
      </c>
      <c r="J72" s="9">
        <v>0.05</v>
      </c>
      <c r="K72" s="9">
        <f t="shared" si="4"/>
        <v>1.1899095668729176E-3</v>
      </c>
      <c r="L72" s="9">
        <f t="shared" si="6"/>
        <v>3.4651477850000001E-2</v>
      </c>
      <c r="M72" s="9">
        <v>0.25</v>
      </c>
      <c r="N72" s="9">
        <f>Tabelle1[[#This Row],[Rohrrauheit-Koeffizient k]]/Tabelle1[[#This Row],[Innen-Durchmesser '[mm']]]</f>
        <v>2.3798191337458355E-4</v>
      </c>
      <c r="O72" s="9">
        <f>(Tabelle1[[#This Row],[Wanddicke '[mm']  ]]+(Tabelle1[[#This Row],[Innen-Durchmesser '[mm']]])*2)</f>
        <v>424.7</v>
      </c>
      <c r="P72" s="9">
        <f>'7'!P20</f>
        <v>1200</v>
      </c>
      <c r="Q72" s="9">
        <f>Tabelle1[[#This Row],[Baulänge Armaturen Schieber&amp;Rück-schlagklappe '[mm']]]+Tabelle1[[#This Row],[Höhe Bogen 3*D '[mm']]]</f>
        <v>1624.7</v>
      </c>
    </row>
    <row r="73" spans="3:17" x14ac:dyDescent="0.25">
      <c r="C73" s="9" t="s">
        <v>375</v>
      </c>
      <c r="D73" s="9" t="s">
        <v>29</v>
      </c>
      <c r="E73" s="9" t="s">
        <v>40</v>
      </c>
      <c r="F73" s="9">
        <v>273</v>
      </c>
      <c r="G73" s="9">
        <v>5</v>
      </c>
      <c r="H73" s="9">
        <f t="shared" si="3"/>
        <v>263</v>
      </c>
      <c r="I73" s="10">
        <f t="shared" si="5"/>
        <v>54.297665000000009</v>
      </c>
      <c r="J73" s="9">
        <v>0.05</v>
      </c>
      <c r="K73" s="9">
        <f t="shared" si="4"/>
        <v>9.5057034220532319E-4</v>
      </c>
      <c r="L73" s="9">
        <f t="shared" si="6"/>
        <v>5.4297665000000009E-2</v>
      </c>
      <c r="M73" s="9">
        <v>0.25</v>
      </c>
      <c r="N73" s="9">
        <f>Tabelle1[[#This Row],[Rohrrauheit-Koeffizient k]]/Tabelle1[[#This Row],[Innen-Durchmesser '[mm']]]</f>
        <v>1.9011406844106465E-4</v>
      </c>
      <c r="O73" s="9">
        <f>(Tabelle1[[#This Row],[Wanddicke '[mm']  ]]+(Tabelle1[[#This Row],[Innen-Durchmesser '[mm']]])*2)</f>
        <v>531</v>
      </c>
      <c r="P73" s="9">
        <f>'7'!P21</f>
        <v>1460</v>
      </c>
      <c r="Q73" s="9">
        <f>Tabelle1[[#This Row],[Baulänge Armaturen Schieber&amp;Rück-schlagklappe '[mm']]]+Tabelle1[[#This Row],[Höhe Bogen 3*D '[mm']]]</f>
        <v>1991</v>
      </c>
    </row>
    <row r="74" spans="3:17" x14ac:dyDescent="0.25">
      <c r="C74" s="9" t="s">
        <v>375</v>
      </c>
      <c r="D74" s="9" t="s">
        <v>32</v>
      </c>
      <c r="E74" s="9" t="s">
        <v>40</v>
      </c>
      <c r="F74" s="9">
        <v>323.89999999999998</v>
      </c>
      <c r="G74" s="9">
        <v>5.6</v>
      </c>
      <c r="H74" s="9">
        <f t="shared" si="3"/>
        <v>312.7</v>
      </c>
      <c r="I74" s="10">
        <f t="shared" si="5"/>
        <v>76.758312649999993</v>
      </c>
      <c r="J74" s="9">
        <v>0.05</v>
      </c>
      <c r="K74" s="9">
        <f t="shared" si="4"/>
        <v>7.9948832747041895E-4</v>
      </c>
      <c r="L74" s="9">
        <f t="shared" si="6"/>
        <v>7.6758312649999993E-2</v>
      </c>
      <c r="M74" s="9">
        <v>0.25</v>
      </c>
      <c r="N74" s="9">
        <f>Tabelle1[[#This Row],[Rohrrauheit-Koeffizient k]]/Tabelle1[[#This Row],[Innen-Durchmesser '[mm']]]</f>
        <v>1.5989766549408379E-4</v>
      </c>
      <c r="O74" s="9">
        <f>(Tabelle1[[#This Row],[Wanddicke '[mm']  ]]+(Tabelle1[[#This Row],[Innen-Durchmesser '[mm']]])*2)</f>
        <v>631</v>
      </c>
      <c r="P74" s="9"/>
      <c r="Q74" s="9"/>
    </row>
    <row r="75" spans="3:17" x14ac:dyDescent="0.25">
      <c r="C75" s="9" t="s">
        <v>375</v>
      </c>
      <c r="D75" s="9" t="s">
        <v>33</v>
      </c>
      <c r="E75" s="9" t="s">
        <v>40</v>
      </c>
      <c r="F75" s="9">
        <v>355.6</v>
      </c>
      <c r="G75" s="9">
        <v>5.6</v>
      </c>
      <c r="H75" s="9">
        <f t="shared" si="3"/>
        <v>344.40000000000003</v>
      </c>
      <c r="I75" s="10">
        <f t="shared" si="5"/>
        <v>93.109917600000017</v>
      </c>
      <c r="J75" s="9">
        <v>0.05</v>
      </c>
      <c r="K75" s="9">
        <f t="shared" si="4"/>
        <v>7.2590011614401847E-4</v>
      </c>
      <c r="L75" s="9">
        <f t="shared" si="6"/>
        <v>9.3109917600000022E-2</v>
      </c>
      <c r="M75" s="9">
        <v>0.25</v>
      </c>
      <c r="N75" s="9">
        <f>Tabelle1[[#This Row],[Rohrrauheit-Koeffizient k]]/Tabelle1[[#This Row],[Innen-Durchmesser '[mm']]]</f>
        <v>1.4518002322880372E-4</v>
      </c>
      <c r="O75" s="9">
        <f>(Tabelle1[[#This Row],[Wanddicke '[mm']  ]]+(Tabelle1[[#This Row],[Innen-Durchmesser '[mm']]])*2)</f>
        <v>694.40000000000009</v>
      </c>
      <c r="P75" s="9"/>
      <c r="Q75" s="9"/>
    </row>
    <row r="76" spans="3:17" x14ac:dyDescent="0.25">
      <c r="C76" s="9" t="s">
        <v>375</v>
      </c>
      <c r="D76" s="9" t="s">
        <v>34</v>
      </c>
      <c r="E76" s="9" t="s">
        <v>40</v>
      </c>
      <c r="F76" s="9">
        <v>406.4</v>
      </c>
      <c r="G76" s="9">
        <v>6.3</v>
      </c>
      <c r="H76" s="9">
        <f t="shared" si="3"/>
        <v>393.79999999999995</v>
      </c>
      <c r="I76" s="10">
        <f t="shared" si="5"/>
        <v>121.73657539999998</v>
      </c>
      <c r="J76" s="9">
        <v>0.05</v>
      </c>
      <c r="K76" s="9">
        <f t="shared" si="4"/>
        <v>6.3484002031488076E-4</v>
      </c>
      <c r="L76" s="9">
        <f t="shared" si="6"/>
        <v>0.12173657539999998</v>
      </c>
      <c r="M76" s="9">
        <v>0.25</v>
      </c>
      <c r="N76" s="9">
        <f>Tabelle1[[#This Row],[Rohrrauheit-Koeffizient k]]/Tabelle1[[#This Row],[Innen-Durchmesser '[mm']]]</f>
        <v>1.2696800406297615E-4</v>
      </c>
      <c r="O76" s="9">
        <f>(Tabelle1[[#This Row],[Wanddicke '[mm']  ]]+(Tabelle1[[#This Row],[Innen-Durchmesser '[mm']]])*2)</f>
        <v>793.89999999999986</v>
      </c>
      <c r="P76" s="9"/>
      <c r="Q76" s="9"/>
    </row>
    <row r="77" spans="3:17" x14ac:dyDescent="0.25">
      <c r="C77" s="9" t="s">
        <v>375</v>
      </c>
      <c r="D77" s="9" t="s">
        <v>38</v>
      </c>
      <c r="E77" s="9" t="s">
        <v>40</v>
      </c>
      <c r="F77" s="9">
        <v>508</v>
      </c>
      <c r="G77" s="9">
        <v>6.3</v>
      </c>
      <c r="H77" s="9">
        <f t="shared" si="3"/>
        <v>495.4</v>
      </c>
      <c r="I77" s="10">
        <f t="shared" si="5"/>
        <v>192.65561059999996</v>
      </c>
      <c r="J77" s="9">
        <v>0.05</v>
      </c>
      <c r="K77" s="9">
        <f t="shared" si="4"/>
        <v>5.0464271295922489E-4</v>
      </c>
      <c r="L77" s="9">
        <f t="shared" si="6"/>
        <v>0.19265561059999997</v>
      </c>
      <c r="M77" s="9">
        <v>0.25</v>
      </c>
      <c r="N77" s="9">
        <f>Tabelle1[[#This Row],[Rohrrauheit-Koeffizient k]]/Tabelle1[[#This Row],[Innen-Durchmesser '[mm']]]</f>
        <v>1.0092854259184498E-4</v>
      </c>
      <c r="O77" s="9">
        <f>(Tabelle1[[#This Row],[Wanddicke '[mm']  ]]+(Tabelle1[[#This Row],[Innen-Durchmesser '[mm']]])*2)</f>
        <v>997.09999999999991</v>
      </c>
      <c r="P77" s="9"/>
      <c r="Q77" s="9"/>
    </row>
    <row r="78" spans="3:17" x14ac:dyDescent="0.25">
      <c r="C78" s="9" t="s">
        <v>375</v>
      </c>
      <c r="D78" s="9" t="s">
        <v>39</v>
      </c>
      <c r="E78" s="9" t="s">
        <v>40</v>
      </c>
      <c r="F78" s="9">
        <v>610</v>
      </c>
      <c r="G78" s="9">
        <v>6.3</v>
      </c>
      <c r="H78" s="9">
        <f t="shared" si="3"/>
        <v>597.4</v>
      </c>
      <c r="I78" s="10">
        <f t="shared" si="5"/>
        <v>280.15610659999993</v>
      </c>
      <c r="J78" s="9">
        <v>0.05</v>
      </c>
      <c r="K78" s="9">
        <f t="shared" si="4"/>
        <v>4.1848008034817542E-4</v>
      </c>
      <c r="L78" s="9">
        <f t="shared" si="6"/>
        <v>0.28015610659999995</v>
      </c>
      <c r="M78" s="9">
        <v>0.25</v>
      </c>
      <c r="N78" s="9">
        <f>Tabelle1[[#This Row],[Rohrrauheit-Koeffizient k]]/Tabelle1[[#This Row],[Innen-Durchmesser '[mm']]]</f>
        <v>8.369601606963509E-5</v>
      </c>
      <c r="O78" s="9">
        <f>(Tabelle1[[#This Row],[Wanddicke '[mm']  ]]+(Tabelle1[[#This Row],[Innen-Durchmesser '[mm']]])*2)</f>
        <v>1201.0999999999999</v>
      </c>
      <c r="P78" s="9"/>
      <c r="Q78" s="9"/>
    </row>
    <row r="79" spans="3:17" x14ac:dyDescent="0.25">
      <c r="C79" s="9" t="s">
        <v>41</v>
      </c>
      <c r="D79" s="9" t="s">
        <v>15</v>
      </c>
      <c r="E79" s="9" t="s">
        <v>42</v>
      </c>
      <c r="F79" s="9">
        <v>12</v>
      </c>
      <c r="G79" s="9">
        <v>1</v>
      </c>
      <c r="H79" s="9">
        <f t="shared" si="3"/>
        <v>10</v>
      </c>
      <c r="I79" s="10">
        <f t="shared" si="5"/>
        <v>7.8500000000000014E-2</v>
      </c>
      <c r="J79" s="9">
        <v>1E-3</v>
      </c>
      <c r="K79" s="9">
        <f t="shared" si="4"/>
        <v>2.5000000000000001E-2</v>
      </c>
      <c r="L79" s="9">
        <f t="shared" si="6"/>
        <v>7.8500000000000011E-5</v>
      </c>
      <c r="M79" s="9">
        <v>0.25</v>
      </c>
      <c r="N79" s="9">
        <f>Tabelle1[[#This Row],[Rohrrauheit-Koeffizient k]]/Tabelle1[[#This Row],[Innen-Durchmesser '[mm']]]</f>
        <v>1E-4</v>
      </c>
      <c r="O79" s="9">
        <f>(Tabelle1[[#This Row],[Wanddicke '[mm']  ]]+(Tabelle1[[#This Row],[Innen-Durchmesser '[mm']]])*2)</f>
        <v>21</v>
      </c>
      <c r="P79" s="9"/>
      <c r="Q79" s="9"/>
    </row>
    <row r="80" spans="3:17" x14ac:dyDescent="0.25">
      <c r="C80" s="9" t="s">
        <v>41</v>
      </c>
      <c r="D80" s="9" t="s">
        <v>17</v>
      </c>
      <c r="E80" s="9" t="s">
        <v>42</v>
      </c>
      <c r="F80" s="9">
        <v>18</v>
      </c>
      <c r="G80" s="9">
        <v>1</v>
      </c>
      <c r="H80" s="9">
        <f t="shared" si="3"/>
        <v>16</v>
      </c>
      <c r="I80" s="10">
        <f t="shared" si="5"/>
        <v>0.20096</v>
      </c>
      <c r="J80" s="9">
        <v>1E-3</v>
      </c>
      <c r="K80" s="9">
        <f t="shared" si="4"/>
        <v>1.5625E-2</v>
      </c>
      <c r="L80" s="9">
        <f t="shared" si="6"/>
        <v>2.0096E-4</v>
      </c>
      <c r="M80" s="9">
        <v>0.25</v>
      </c>
      <c r="N80" s="9">
        <f>Tabelle1[[#This Row],[Rohrrauheit-Koeffizient k]]/Tabelle1[[#This Row],[Innen-Durchmesser '[mm']]]</f>
        <v>6.2500000000000001E-5</v>
      </c>
      <c r="O80" s="9">
        <f>(Tabelle1[[#This Row],[Wanddicke '[mm']  ]]+(Tabelle1[[#This Row],[Innen-Durchmesser '[mm']]])*2)</f>
        <v>33</v>
      </c>
      <c r="P80" s="9">
        <f>'7'!P9</f>
        <v>260</v>
      </c>
      <c r="Q80" s="9">
        <f>Tabelle1[[#This Row],[Baulänge Armaturen Schieber&amp;Rück-schlagklappe '[mm']]]+Tabelle1[[#This Row],[Höhe Bogen 3*D '[mm']]]</f>
        <v>293</v>
      </c>
    </row>
    <row r="81" spans="3:17" x14ac:dyDescent="0.25">
      <c r="C81" s="9" t="s">
        <v>41</v>
      </c>
      <c r="D81" s="9" t="s">
        <v>18</v>
      </c>
      <c r="E81" s="9" t="s">
        <v>42</v>
      </c>
      <c r="F81" s="9">
        <v>22</v>
      </c>
      <c r="G81" s="9">
        <v>1</v>
      </c>
      <c r="H81" s="9">
        <f t="shared" si="3"/>
        <v>20</v>
      </c>
      <c r="I81" s="10">
        <f t="shared" si="5"/>
        <v>0.31400000000000006</v>
      </c>
      <c r="J81" s="9">
        <v>1E-3</v>
      </c>
      <c r="K81" s="9">
        <f t="shared" si="4"/>
        <v>1.2500000000000001E-2</v>
      </c>
      <c r="L81" s="9">
        <f t="shared" si="6"/>
        <v>3.1400000000000004E-4</v>
      </c>
      <c r="M81" s="9">
        <v>0.25</v>
      </c>
      <c r="N81" s="9">
        <f>Tabelle1[[#This Row],[Rohrrauheit-Koeffizient k]]/Tabelle1[[#This Row],[Innen-Durchmesser '[mm']]]</f>
        <v>5.0000000000000002E-5</v>
      </c>
      <c r="O81" s="9">
        <f>(Tabelle1[[#This Row],[Wanddicke '[mm']  ]]+(Tabelle1[[#This Row],[Innen-Durchmesser '[mm']]])*2)</f>
        <v>41</v>
      </c>
      <c r="P81" s="9">
        <f>'7'!P10</f>
        <v>300</v>
      </c>
      <c r="Q81" s="9">
        <f>Tabelle1[[#This Row],[Baulänge Armaturen Schieber&amp;Rück-schlagklappe '[mm']]]+Tabelle1[[#This Row],[Höhe Bogen 3*D '[mm']]]</f>
        <v>341</v>
      </c>
    </row>
    <row r="82" spans="3:17" x14ac:dyDescent="0.25">
      <c r="C82" s="9" t="s">
        <v>41</v>
      </c>
      <c r="D82" s="9" t="s">
        <v>19</v>
      </c>
      <c r="E82" s="9" t="s">
        <v>42</v>
      </c>
      <c r="F82" s="9">
        <v>28</v>
      </c>
      <c r="G82" s="9">
        <v>1.5</v>
      </c>
      <c r="H82" s="9">
        <f t="shared" si="3"/>
        <v>25</v>
      </c>
      <c r="I82" s="10">
        <f t="shared" si="5"/>
        <v>0.49062500000000009</v>
      </c>
      <c r="J82" s="9">
        <v>1E-3</v>
      </c>
      <c r="K82" s="9">
        <f t="shared" si="4"/>
        <v>0.01</v>
      </c>
      <c r="L82" s="9">
        <f t="shared" si="6"/>
        <v>4.9062500000000007E-4</v>
      </c>
      <c r="M82" s="9">
        <v>0.25</v>
      </c>
      <c r="N82" s="9">
        <f>Tabelle1[[#This Row],[Rohrrauheit-Koeffizient k]]/Tabelle1[[#This Row],[Innen-Durchmesser '[mm']]]</f>
        <v>4.0000000000000003E-5</v>
      </c>
      <c r="O82" s="9">
        <f>(Tabelle1[[#This Row],[Wanddicke '[mm']  ]]+(Tabelle1[[#This Row],[Innen-Durchmesser '[mm']]])*2)</f>
        <v>51.5</v>
      </c>
      <c r="P82" s="9">
        <f>'7'!P11</f>
        <v>320</v>
      </c>
      <c r="Q82" s="9">
        <f>Tabelle1[[#This Row],[Baulänge Armaturen Schieber&amp;Rück-schlagklappe '[mm']]]+Tabelle1[[#This Row],[Höhe Bogen 3*D '[mm']]]</f>
        <v>371.5</v>
      </c>
    </row>
    <row r="83" spans="3:17" x14ac:dyDescent="0.25">
      <c r="C83" s="9" t="s">
        <v>41</v>
      </c>
      <c r="D83" s="9" t="s">
        <v>20</v>
      </c>
      <c r="E83" s="9" t="s">
        <v>42</v>
      </c>
      <c r="F83" s="9">
        <v>35</v>
      </c>
      <c r="G83" s="9">
        <v>1.5</v>
      </c>
      <c r="H83" s="9">
        <f t="shared" si="3"/>
        <v>32</v>
      </c>
      <c r="I83" s="10">
        <f t="shared" si="5"/>
        <v>0.80384</v>
      </c>
      <c r="J83" s="9">
        <v>1E-3</v>
      </c>
      <c r="K83" s="9">
        <f t="shared" si="4"/>
        <v>7.8125E-3</v>
      </c>
      <c r="L83" s="9">
        <f t="shared" si="6"/>
        <v>8.0384E-4</v>
      </c>
      <c r="M83" s="9">
        <v>0.25</v>
      </c>
      <c r="N83" s="9">
        <f>Tabelle1[[#This Row],[Rohrrauheit-Koeffizient k]]/Tabelle1[[#This Row],[Innen-Durchmesser '[mm']]]</f>
        <v>3.1250000000000001E-5</v>
      </c>
      <c r="O83" s="9">
        <f>(Tabelle1[[#This Row],[Wanddicke '[mm']  ]]+(Tabelle1[[#This Row],[Innen-Durchmesser '[mm']]])*2)</f>
        <v>65.5</v>
      </c>
      <c r="P83" s="9">
        <f>'7'!P12</f>
        <v>360</v>
      </c>
      <c r="Q83" s="9">
        <f>Tabelle1[[#This Row],[Baulänge Armaturen Schieber&amp;Rück-schlagklappe '[mm']]]+Tabelle1[[#This Row],[Höhe Bogen 3*D '[mm']]]</f>
        <v>425.5</v>
      </c>
    </row>
    <row r="84" spans="3:17" x14ac:dyDescent="0.25">
      <c r="C84" s="9" t="s">
        <v>41</v>
      </c>
      <c r="D84" s="9" t="s">
        <v>21</v>
      </c>
      <c r="E84" s="9" t="s">
        <v>42</v>
      </c>
      <c r="F84" s="9">
        <v>42</v>
      </c>
      <c r="G84" s="9">
        <v>1.5</v>
      </c>
      <c r="H84" s="9">
        <f t="shared" si="3"/>
        <v>39</v>
      </c>
      <c r="I84" s="10">
        <f t="shared" si="5"/>
        <v>1.1939850000000001</v>
      </c>
      <c r="J84" s="9">
        <v>1E-3</v>
      </c>
      <c r="K84" s="9">
        <f t="shared" si="4"/>
        <v>6.41025641025641E-3</v>
      </c>
      <c r="L84" s="9">
        <f t="shared" si="6"/>
        <v>1.1939850000000001E-3</v>
      </c>
      <c r="M84" s="9">
        <v>0.25</v>
      </c>
      <c r="N84" s="9">
        <f>Tabelle1[[#This Row],[Rohrrauheit-Koeffizient k]]/Tabelle1[[#This Row],[Innen-Durchmesser '[mm']]]</f>
        <v>2.5641025641025643E-5</v>
      </c>
      <c r="O84" s="9">
        <f>(Tabelle1[[#This Row],[Wanddicke '[mm']  ]]+(Tabelle1[[#This Row],[Innen-Durchmesser '[mm']]])*2)</f>
        <v>79.5</v>
      </c>
      <c r="P84" s="9">
        <f>'7'!P13</f>
        <v>400</v>
      </c>
      <c r="Q84" s="9">
        <f>Tabelle1[[#This Row],[Baulänge Armaturen Schieber&amp;Rück-schlagklappe '[mm']]]+Tabelle1[[#This Row],[Höhe Bogen 3*D '[mm']]]</f>
        <v>479.5</v>
      </c>
    </row>
    <row r="85" spans="3:17" x14ac:dyDescent="0.25">
      <c r="C85" s="9" t="s">
        <v>41</v>
      </c>
      <c r="D85" s="9" t="s">
        <v>22</v>
      </c>
      <c r="E85" s="9" t="s">
        <v>42</v>
      </c>
      <c r="F85" s="9">
        <v>54</v>
      </c>
      <c r="G85" s="9">
        <v>2</v>
      </c>
      <c r="H85" s="9">
        <f t="shared" si="3"/>
        <v>50</v>
      </c>
      <c r="I85" s="10">
        <f t="shared" si="5"/>
        <v>1.9625000000000004</v>
      </c>
      <c r="J85" s="9">
        <v>1E-3</v>
      </c>
      <c r="K85" s="9">
        <f t="shared" si="4"/>
        <v>5.0000000000000001E-3</v>
      </c>
      <c r="L85" s="9">
        <f t="shared" si="6"/>
        <v>1.9625000000000003E-3</v>
      </c>
      <c r="M85" s="9">
        <v>0.25</v>
      </c>
      <c r="N85" s="9">
        <f>Tabelle1[[#This Row],[Rohrrauheit-Koeffizient k]]/Tabelle1[[#This Row],[Innen-Durchmesser '[mm']]]</f>
        <v>2.0000000000000002E-5</v>
      </c>
      <c r="O85" s="9">
        <f>(Tabelle1[[#This Row],[Wanddicke '[mm']  ]]+(Tabelle1[[#This Row],[Innen-Durchmesser '[mm']]])*2)</f>
        <v>102</v>
      </c>
      <c r="P85" s="9">
        <f>'7'!P14</f>
        <v>460</v>
      </c>
      <c r="Q85" s="9">
        <f>Tabelle1[[#This Row],[Baulänge Armaturen Schieber&amp;Rück-schlagklappe '[mm']]]+Tabelle1[[#This Row],[Höhe Bogen 3*D '[mm']]]</f>
        <v>562</v>
      </c>
    </row>
    <row r="86" spans="3:17" x14ac:dyDescent="0.25">
      <c r="C86" s="9" t="s">
        <v>41</v>
      </c>
      <c r="D86" s="9" t="s">
        <v>23</v>
      </c>
      <c r="E86" s="9" t="s">
        <v>42</v>
      </c>
      <c r="F86" s="9">
        <v>76.099999999999994</v>
      </c>
      <c r="G86" s="9">
        <v>2</v>
      </c>
      <c r="H86" s="9">
        <f t="shared" si="3"/>
        <v>72.099999999999994</v>
      </c>
      <c r="I86" s="10">
        <f t="shared" si="5"/>
        <v>4.0807518499999995</v>
      </c>
      <c r="J86" s="9">
        <v>1E-3</v>
      </c>
      <c r="K86" s="9">
        <f t="shared" si="4"/>
        <v>3.4674063800277394E-3</v>
      </c>
      <c r="L86" s="9">
        <f t="shared" si="6"/>
        <v>4.0807518499999997E-3</v>
      </c>
      <c r="M86" s="9">
        <v>0.25</v>
      </c>
      <c r="N86" s="9">
        <f>Tabelle1[[#This Row],[Rohrrauheit-Koeffizient k]]/Tabelle1[[#This Row],[Innen-Durchmesser '[mm']]]</f>
        <v>1.3869625520110959E-5</v>
      </c>
      <c r="O86" s="9">
        <f>(Tabelle1[[#This Row],[Wanddicke '[mm']  ]]+(Tabelle1[[#This Row],[Innen-Durchmesser '[mm']]])*2)</f>
        <v>146.19999999999999</v>
      </c>
      <c r="P86" s="9">
        <f>'7'!P15</f>
        <v>580</v>
      </c>
      <c r="Q86" s="9">
        <f>Tabelle1[[#This Row],[Baulänge Armaturen Schieber&amp;Rück-schlagklappe '[mm']]]+Tabelle1[[#This Row],[Höhe Bogen 3*D '[mm']]]</f>
        <v>726.2</v>
      </c>
    </row>
    <row r="87" spans="3:17" x14ac:dyDescent="0.25">
      <c r="C87" s="9" t="s">
        <v>41</v>
      </c>
      <c r="D87" s="9" t="s">
        <v>24</v>
      </c>
      <c r="E87" s="9" t="s">
        <v>42</v>
      </c>
      <c r="F87" s="9">
        <v>88.9</v>
      </c>
      <c r="G87" s="9">
        <v>2</v>
      </c>
      <c r="H87" s="9">
        <f t="shared" si="3"/>
        <v>84.9</v>
      </c>
      <c r="I87" s="10">
        <f t="shared" si="5"/>
        <v>5.6582878500000007</v>
      </c>
      <c r="J87" s="9">
        <v>1E-3</v>
      </c>
      <c r="K87" s="9">
        <f t="shared" si="4"/>
        <v>2.9446407538280327E-3</v>
      </c>
      <c r="L87" s="9">
        <f t="shared" si="6"/>
        <v>5.6582878500000006E-3</v>
      </c>
      <c r="M87" s="9">
        <v>0.25</v>
      </c>
      <c r="N87" s="9">
        <f>Tabelle1[[#This Row],[Rohrrauheit-Koeffizient k]]/Tabelle1[[#This Row],[Innen-Durchmesser '[mm']]]</f>
        <v>1.1778563015312131E-5</v>
      </c>
      <c r="O87" s="9">
        <f>(Tabelle1[[#This Row],[Wanddicke '[mm']  ]]+(Tabelle1[[#This Row],[Innen-Durchmesser '[mm']]])*2)</f>
        <v>171.8</v>
      </c>
      <c r="P87" s="9">
        <f>'7'!P16</f>
        <v>620</v>
      </c>
      <c r="Q87" s="9">
        <f>Tabelle1[[#This Row],[Baulänge Armaturen Schieber&amp;Rück-schlagklappe '[mm']]]+Tabelle1[[#This Row],[Höhe Bogen 3*D '[mm']]]</f>
        <v>791.8</v>
      </c>
    </row>
    <row r="88" spans="3:17" x14ac:dyDescent="0.25">
      <c r="C88" s="9" t="s">
        <v>41</v>
      </c>
      <c r="D88" s="9" t="s">
        <v>25</v>
      </c>
      <c r="E88" s="9" t="s">
        <v>42</v>
      </c>
      <c r="F88" s="9">
        <v>108</v>
      </c>
      <c r="G88" s="9">
        <v>2.5</v>
      </c>
      <c r="H88" s="9">
        <f t="shared" si="3"/>
        <v>103</v>
      </c>
      <c r="I88" s="10">
        <f t="shared" si="5"/>
        <v>8.3280649999999987</v>
      </c>
      <c r="J88" s="9">
        <v>1E-3</v>
      </c>
      <c r="K88" s="9">
        <f t="shared" si="4"/>
        <v>2.4271844660194173E-3</v>
      </c>
      <c r="L88" s="9">
        <f t="shared" si="6"/>
        <v>8.3280649999999991E-3</v>
      </c>
      <c r="M88" s="9">
        <v>0.25</v>
      </c>
      <c r="N88" s="9">
        <f>Tabelle1[[#This Row],[Rohrrauheit-Koeffizient k]]/Tabelle1[[#This Row],[Innen-Durchmesser '[mm']]]</f>
        <v>9.7087378640776696E-6</v>
      </c>
      <c r="O88" s="9">
        <f>(Tabelle1[[#This Row],[Wanddicke '[mm']  ]]+(Tabelle1[[#This Row],[Innen-Durchmesser '[mm']]])*2)</f>
        <v>208.5</v>
      </c>
      <c r="P88" s="9">
        <f>'7'!P17</f>
        <v>700</v>
      </c>
      <c r="Q88" s="9">
        <f>Tabelle1[[#This Row],[Baulänge Armaturen Schieber&amp;Rück-schlagklappe '[mm']]]+Tabelle1[[#This Row],[Höhe Bogen 3*D '[mm']]]</f>
        <v>908.5</v>
      </c>
    </row>
    <row r="89" spans="3:17" x14ac:dyDescent="0.25">
      <c r="C89" s="9" t="s">
        <v>41</v>
      </c>
      <c r="D89" s="9" t="s">
        <v>26</v>
      </c>
      <c r="E89" s="9" t="s">
        <v>42</v>
      </c>
      <c r="F89" s="9">
        <v>133</v>
      </c>
      <c r="G89" s="9">
        <v>3</v>
      </c>
      <c r="H89" s="9">
        <f t="shared" si="3"/>
        <v>127</v>
      </c>
      <c r="I89" s="10">
        <f t="shared" si="5"/>
        <v>12.661265000000002</v>
      </c>
      <c r="J89" s="9">
        <v>1E-3</v>
      </c>
      <c r="K89" s="9">
        <f t="shared" si="4"/>
        <v>1.968503937007874E-3</v>
      </c>
      <c r="L89" s="9">
        <f t="shared" si="6"/>
        <v>1.2661265000000001E-2</v>
      </c>
      <c r="M89" s="9">
        <v>0.25</v>
      </c>
      <c r="N89" s="9">
        <f>Tabelle1[[#This Row],[Rohrrauheit-Koeffizient k]]/Tabelle1[[#This Row],[Innen-Durchmesser '[mm']]]</f>
        <v>7.8740157480314964E-6</v>
      </c>
      <c r="O89" s="9">
        <f>(Tabelle1[[#This Row],[Wanddicke '[mm']  ]]+(Tabelle1[[#This Row],[Innen-Durchmesser '[mm']]])*2)</f>
        <v>257</v>
      </c>
      <c r="P89" s="9">
        <f>'7'!P18</f>
        <v>800</v>
      </c>
      <c r="Q89" s="9">
        <f>Tabelle1[[#This Row],[Baulänge Armaturen Schieber&amp;Rück-schlagklappe '[mm']]]+Tabelle1[[#This Row],[Höhe Bogen 3*D '[mm']]]</f>
        <v>1057</v>
      </c>
    </row>
    <row r="90" spans="3:17" x14ac:dyDescent="0.25">
      <c r="C90" s="9" t="s">
        <v>41</v>
      </c>
      <c r="D90" s="9" t="s">
        <v>27</v>
      </c>
      <c r="E90" s="9" t="s">
        <v>42</v>
      </c>
      <c r="F90" s="9">
        <v>159</v>
      </c>
      <c r="G90" s="9">
        <v>3</v>
      </c>
      <c r="H90" s="9">
        <f t="shared" si="3"/>
        <v>153</v>
      </c>
      <c r="I90" s="10">
        <f t="shared" si="5"/>
        <v>18.376065000000001</v>
      </c>
      <c r="J90" s="9">
        <v>1E-3</v>
      </c>
      <c r="K90" s="9">
        <f t="shared" si="4"/>
        <v>1.6339869281045752E-3</v>
      </c>
      <c r="L90" s="9">
        <f t="shared" si="6"/>
        <v>1.8376065E-2</v>
      </c>
      <c r="M90" s="9">
        <v>0.25</v>
      </c>
      <c r="N90" s="9">
        <f>Tabelle1[[#This Row],[Rohrrauheit-Koeffizient k]]/Tabelle1[[#This Row],[Innen-Durchmesser '[mm']]]</f>
        <v>6.5359477124183011E-6</v>
      </c>
      <c r="O90" s="9">
        <f>(Tabelle1[[#This Row],[Wanddicke '[mm']  ]]+(Tabelle1[[#This Row],[Innen-Durchmesser '[mm']]])*2)</f>
        <v>309</v>
      </c>
      <c r="P90" s="9">
        <f>'7'!P19</f>
        <v>960</v>
      </c>
      <c r="Q90" s="9">
        <f>Tabelle1[[#This Row],[Baulänge Armaturen Schieber&amp;Rück-schlagklappe '[mm']]]+Tabelle1[[#This Row],[Höhe Bogen 3*D '[mm']]]</f>
        <v>1269</v>
      </c>
    </row>
    <row r="91" spans="3:17" x14ac:dyDescent="0.25">
      <c r="C91" s="9" t="s">
        <v>41</v>
      </c>
      <c r="D91" s="9" t="s">
        <v>28</v>
      </c>
      <c r="E91" s="9" t="s">
        <v>42</v>
      </c>
      <c r="F91" s="9">
        <v>219</v>
      </c>
      <c r="G91" s="9">
        <v>3</v>
      </c>
      <c r="H91" s="9">
        <f t="shared" si="3"/>
        <v>213</v>
      </c>
      <c r="I91" s="10">
        <f t="shared" si="5"/>
        <v>35.614665000000002</v>
      </c>
      <c r="J91" s="9">
        <v>1E-3</v>
      </c>
      <c r="K91" s="9">
        <f t="shared" si="4"/>
        <v>1.1737089201877935E-3</v>
      </c>
      <c r="L91" s="9">
        <f t="shared" si="6"/>
        <v>3.5614665000000004E-2</v>
      </c>
      <c r="M91" s="9">
        <v>0.25</v>
      </c>
      <c r="N91" s="9">
        <f>Tabelle1[[#This Row],[Rohrrauheit-Koeffizient k]]/Tabelle1[[#This Row],[Innen-Durchmesser '[mm']]]</f>
        <v>4.6948356807511736E-6</v>
      </c>
      <c r="O91" s="9">
        <f>(Tabelle1[[#This Row],[Wanddicke '[mm']  ]]+(Tabelle1[[#This Row],[Innen-Durchmesser '[mm']]])*2)</f>
        <v>429</v>
      </c>
      <c r="P91" s="9">
        <f>'7'!P20</f>
        <v>1200</v>
      </c>
      <c r="Q91" s="9">
        <f>Tabelle1[[#This Row],[Baulänge Armaturen Schieber&amp;Rück-schlagklappe '[mm']]]+Tabelle1[[#This Row],[Höhe Bogen 3*D '[mm']]]</f>
        <v>1629</v>
      </c>
    </row>
    <row r="92" spans="3:17" x14ac:dyDescent="0.25">
      <c r="C92" s="9" t="s">
        <v>41</v>
      </c>
      <c r="D92" s="9" t="s">
        <v>29</v>
      </c>
      <c r="E92" s="9" t="s">
        <v>42</v>
      </c>
      <c r="F92" s="9">
        <v>267</v>
      </c>
      <c r="G92" s="9">
        <v>3</v>
      </c>
      <c r="H92" s="9">
        <f t="shared" si="3"/>
        <v>261</v>
      </c>
      <c r="I92" s="10">
        <f t="shared" si="5"/>
        <v>53.474985000000004</v>
      </c>
      <c r="J92" s="9">
        <v>1E-3</v>
      </c>
      <c r="K92" s="9">
        <f t="shared" si="4"/>
        <v>9.5785440613026815E-4</v>
      </c>
      <c r="L92" s="9">
        <f t="shared" si="6"/>
        <v>5.3474985000000003E-2</v>
      </c>
      <c r="M92" s="9">
        <v>0.25</v>
      </c>
      <c r="N92" s="9">
        <f>Tabelle1[[#This Row],[Rohrrauheit-Koeffizient k]]/Tabelle1[[#This Row],[Innen-Durchmesser '[mm']]]</f>
        <v>3.8314176245210725E-6</v>
      </c>
      <c r="O92" s="9">
        <f>(Tabelle1[[#This Row],[Wanddicke '[mm']  ]]+(Tabelle1[[#This Row],[Innen-Durchmesser '[mm']]])*2)</f>
        <v>525</v>
      </c>
      <c r="P92" s="9">
        <f>'7'!P21</f>
        <v>1460</v>
      </c>
      <c r="Q92" s="9">
        <f>Tabelle1[[#This Row],[Baulänge Armaturen Schieber&amp;Rück-schlagklappe '[mm']]]+Tabelle1[[#This Row],[Höhe Bogen 3*D '[mm']]]</f>
        <v>1985</v>
      </c>
    </row>
    <row r="93" spans="3:17" x14ac:dyDescent="0.25">
      <c r="C93" s="9" t="s">
        <v>300</v>
      </c>
      <c r="D93" s="9" t="s">
        <v>20</v>
      </c>
      <c r="E93" s="9" t="s">
        <v>31</v>
      </c>
      <c r="F93" s="9">
        <v>40</v>
      </c>
      <c r="G93" s="9">
        <v>2.4</v>
      </c>
      <c r="H93" s="9">
        <f>F93-(2*G93)</f>
        <v>35.200000000000003</v>
      </c>
      <c r="I93" s="10">
        <f t="shared" si="5"/>
        <v>0.97264640000000013</v>
      </c>
      <c r="J93" s="9">
        <v>1E-3</v>
      </c>
      <c r="K93" s="9">
        <f>M93/H93</f>
        <v>7.102272727272727E-3</v>
      </c>
      <c r="L93" s="9">
        <f>(0.785*((H93/1000)^2))</f>
        <v>9.7264640000000011E-4</v>
      </c>
      <c r="M93" s="9">
        <v>0.25</v>
      </c>
      <c r="N93" s="9">
        <f>Tabelle1[[#This Row],[Rohrrauheit-Koeffizient k]]/Tabelle1[[#This Row],[Innen-Durchmesser '[mm']]]</f>
        <v>2.8409090909090909E-5</v>
      </c>
      <c r="O93" s="9">
        <f>(Tabelle1[[#This Row],[Wanddicke '[mm']  ]]+(Tabelle1[[#This Row],[Innen-Durchmesser '[mm']]])*2)</f>
        <v>72.800000000000011</v>
      </c>
      <c r="P93" s="9">
        <v>360</v>
      </c>
      <c r="Q93" s="9">
        <f>Tabelle1[[#This Row],[Baulänge Armaturen Schieber&amp;Rück-schlagklappe '[mm']]]+Tabelle1[[#This Row],[Höhe Bogen 3*D '[mm']]]</f>
        <v>432.8</v>
      </c>
    </row>
    <row r="94" spans="3:17" x14ac:dyDescent="0.25">
      <c r="C94" s="9" t="s">
        <v>300</v>
      </c>
      <c r="D94" s="64" t="s">
        <v>21</v>
      </c>
      <c r="E94" s="9" t="s">
        <v>31</v>
      </c>
      <c r="F94" s="9">
        <v>50</v>
      </c>
      <c r="G94" s="9">
        <v>3</v>
      </c>
      <c r="H94" s="9">
        <f t="shared" ref="H94:H102" si="7">F94-(2*G94)</f>
        <v>44</v>
      </c>
      <c r="I94" s="10">
        <f t="shared" si="5"/>
        <v>1.51976</v>
      </c>
      <c r="J94" s="9">
        <v>1E-3</v>
      </c>
      <c r="K94" s="9">
        <f t="shared" ref="K94:K102" si="8">M94/H94</f>
        <v>5.681818181818182E-3</v>
      </c>
      <c r="L94" s="9">
        <f t="shared" ref="L94:L102" si="9">(0.785*((H94/1000)^2))</f>
        <v>1.51976E-3</v>
      </c>
      <c r="M94" s="9">
        <v>0.25</v>
      </c>
      <c r="N94" s="9">
        <f>Tabelle1[[#This Row],[Rohrrauheit-Koeffizient k]]/Tabelle1[[#This Row],[Innen-Durchmesser '[mm']]]</f>
        <v>2.2727272727272729E-5</v>
      </c>
      <c r="O94" s="9">
        <f>(Tabelle1[[#This Row],[Wanddicke '[mm']  ]]+(Tabelle1[[#This Row],[Innen-Durchmesser '[mm']]])*2)</f>
        <v>91</v>
      </c>
      <c r="P94" s="9">
        <v>400</v>
      </c>
      <c r="Q94" s="9">
        <f>Tabelle1[[#This Row],[Baulänge Armaturen Schieber&amp;Rück-schlagklappe '[mm']]]+Tabelle1[[#This Row],[Höhe Bogen 3*D '[mm']]]</f>
        <v>491</v>
      </c>
    </row>
    <row r="95" spans="3:17" x14ac:dyDescent="0.25">
      <c r="C95" s="9" t="s">
        <v>300</v>
      </c>
      <c r="D95" s="64" t="s">
        <v>22</v>
      </c>
      <c r="E95" s="9" t="s">
        <v>31</v>
      </c>
      <c r="F95" s="9">
        <v>63</v>
      </c>
      <c r="G95" s="9">
        <v>3.8</v>
      </c>
      <c r="H95" s="9">
        <f t="shared" si="7"/>
        <v>55.4</v>
      </c>
      <c r="I95" s="10">
        <f t="shared" si="5"/>
        <v>2.4092905999999998</v>
      </c>
      <c r="J95" s="9">
        <v>1E-3</v>
      </c>
      <c r="K95" s="9">
        <f t="shared" si="8"/>
        <v>4.5126353790613718E-3</v>
      </c>
      <c r="L95" s="9">
        <f t="shared" si="9"/>
        <v>2.4092905999999999E-3</v>
      </c>
      <c r="M95" s="9">
        <v>0.25</v>
      </c>
      <c r="N95" s="9">
        <f>Tabelle1[[#This Row],[Rohrrauheit-Koeffizient k]]/Tabelle1[[#This Row],[Innen-Durchmesser '[mm']]]</f>
        <v>1.8050541516245488E-5</v>
      </c>
      <c r="O95" s="9">
        <f>(Tabelle1[[#This Row],[Wanddicke '[mm']  ]]+(Tabelle1[[#This Row],[Innen-Durchmesser '[mm']]])*2)</f>
        <v>114.6</v>
      </c>
      <c r="P95" s="9">
        <v>460</v>
      </c>
      <c r="Q95" s="9">
        <f>Tabelle1[[#This Row],[Baulänge Armaturen Schieber&amp;Rück-schlagklappe '[mm']]]+Tabelle1[[#This Row],[Höhe Bogen 3*D '[mm']]]</f>
        <v>574.6</v>
      </c>
    </row>
    <row r="96" spans="3:17" x14ac:dyDescent="0.25">
      <c r="C96" s="9" t="s">
        <v>300</v>
      </c>
      <c r="D96" s="64" t="s">
        <v>23</v>
      </c>
      <c r="E96" s="9" t="s">
        <v>31</v>
      </c>
      <c r="F96" s="9">
        <v>75</v>
      </c>
      <c r="G96" s="9">
        <v>4.5</v>
      </c>
      <c r="H96" s="9">
        <f t="shared" si="7"/>
        <v>66</v>
      </c>
      <c r="I96" s="10">
        <f t="shared" si="5"/>
        <v>3.4194600000000004</v>
      </c>
      <c r="J96" s="9">
        <v>1E-3</v>
      </c>
      <c r="K96" s="9">
        <f t="shared" si="8"/>
        <v>3.787878787878788E-3</v>
      </c>
      <c r="L96" s="9">
        <f t="shared" si="9"/>
        <v>3.4194600000000005E-3</v>
      </c>
      <c r="M96" s="9">
        <v>0.25</v>
      </c>
      <c r="N96" s="9">
        <f>Tabelle1[[#This Row],[Rohrrauheit-Koeffizient k]]/Tabelle1[[#This Row],[Innen-Durchmesser '[mm']]]</f>
        <v>1.5151515151515151E-5</v>
      </c>
      <c r="O96" s="9">
        <f>(Tabelle1[[#This Row],[Wanddicke '[mm']  ]]+(Tabelle1[[#This Row],[Innen-Durchmesser '[mm']]])*2)</f>
        <v>136.5</v>
      </c>
      <c r="P96" s="9">
        <v>580</v>
      </c>
      <c r="Q96" s="9">
        <f>Tabelle1[[#This Row],[Baulänge Armaturen Schieber&amp;Rück-schlagklappe '[mm']]]+Tabelle1[[#This Row],[Höhe Bogen 3*D '[mm']]]</f>
        <v>716.5</v>
      </c>
    </row>
    <row r="97" spans="3:17" x14ac:dyDescent="0.25">
      <c r="C97" s="9" t="s">
        <v>300</v>
      </c>
      <c r="D97" s="64" t="s">
        <v>24</v>
      </c>
      <c r="E97" s="9" t="s">
        <v>31</v>
      </c>
      <c r="F97" s="9">
        <v>90</v>
      </c>
      <c r="G97" s="9">
        <v>5.4</v>
      </c>
      <c r="H97" s="9">
        <f t="shared" si="7"/>
        <v>79.2</v>
      </c>
      <c r="I97" s="10">
        <f t="shared" si="5"/>
        <v>4.924022400000001</v>
      </c>
      <c r="J97" s="9">
        <v>1E-3</v>
      </c>
      <c r="K97" s="9">
        <f t="shared" si="8"/>
        <v>3.1565656565656565E-3</v>
      </c>
      <c r="L97" s="9">
        <f t="shared" si="9"/>
        <v>4.9240224000000011E-3</v>
      </c>
      <c r="M97" s="9">
        <v>0.25</v>
      </c>
      <c r="N97" s="9">
        <f>Tabelle1[[#This Row],[Rohrrauheit-Koeffizient k]]/Tabelle1[[#This Row],[Innen-Durchmesser '[mm']]]</f>
        <v>1.2626262626262626E-5</v>
      </c>
      <c r="O97" s="9">
        <f>(Tabelle1[[#This Row],[Wanddicke '[mm']  ]]+(Tabelle1[[#This Row],[Innen-Durchmesser '[mm']]])*2)</f>
        <v>163.80000000000001</v>
      </c>
      <c r="P97" s="9">
        <v>620</v>
      </c>
      <c r="Q97" s="9">
        <f>Tabelle1[[#This Row],[Baulänge Armaturen Schieber&amp;Rück-schlagklappe '[mm']]]+Tabelle1[[#This Row],[Höhe Bogen 3*D '[mm']]]</f>
        <v>783.8</v>
      </c>
    </row>
    <row r="98" spans="3:17" x14ac:dyDescent="0.25">
      <c r="C98" s="9" t="s">
        <v>300</v>
      </c>
      <c r="D98" s="64" t="s">
        <v>25</v>
      </c>
      <c r="E98" s="9" t="s">
        <v>31</v>
      </c>
      <c r="F98" s="9">
        <v>110</v>
      </c>
      <c r="G98" s="9">
        <v>6.6</v>
      </c>
      <c r="H98" s="9">
        <f t="shared" si="7"/>
        <v>96.8</v>
      </c>
      <c r="I98" s="10">
        <f t="shared" si="5"/>
        <v>7.3556384000000001</v>
      </c>
      <c r="J98" s="9">
        <v>1E-3</v>
      </c>
      <c r="K98" s="9">
        <f t="shared" si="8"/>
        <v>2.5826446280991736E-3</v>
      </c>
      <c r="L98" s="9">
        <f t="shared" si="9"/>
        <v>7.3556384000000004E-3</v>
      </c>
      <c r="M98" s="9">
        <v>0.25</v>
      </c>
      <c r="N98" s="9">
        <f>Tabelle1[[#This Row],[Rohrrauheit-Koeffizient k]]/Tabelle1[[#This Row],[Innen-Durchmesser '[mm']]]</f>
        <v>1.0330578512396695E-5</v>
      </c>
      <c r="O98" s="9">
        <f>(Tabelle1[[#This Row],[Wanddicke '[mm']  ]]+(Tabelle1[[#This Row],[Innen-Durchmesser '[mm']]])*2)</f>
        <v>200.2</v>
      </c>
      <c r="P98" s="9">
        <v>700</v>
      </c>
      <c r="Q98" s="9">
        <f>Tabelle1[[#This Row],[Baulänge Armaturen Schieber&amp;Rück-schlagklappe '[mm']]]+Tabelle1[[#This Row],[Höhe Bogen 3*D '[mm']]]</f>
        <v>900.2</v>
      </c>
    </row>
    <row r="99" spans="3:17" x14ac:dyDescent="0.25">
      <c r="C99" s="9" t="s">
        <v>300</v>
      </c>
      <c r="D99" s="64" t="s">
        <v>26</v>
      </c>
      <c r="E99" s="9" t="s">
        <v>31</v>
      </c>
      <c r="F99" s="9">
        <v>140</v>
      </c>
      <c r="G99" s="9">
        <v>8.3000000000000007</v>
      </c>
      <c r="H99" s="9">
        <f t="shared" si="7"/>
        <v>123.4</v>
      </c>
      <c r="I99" s="10">
        <f t="shared" si="5"/>
        <v>11.953634600000003</v>
      </c>
      <c r="J99" s="9">
        <v>1E-3</v>
      </c>
      <c r="K99" s="9">
        <f t="shared" si="8"/>
        <v>2.0259319286871961E-3</v>
      </c>
      <c r="L99" s="9">
        <f t="shared" si="9"/>
        <v>1.1953634600000002E-2</v>
      </c>
      <c r="M99" s="9">
        <v>0.25</v>
      </c>
      <c r="N99" s="9">
        <f>Tabelle1[[#This Row],[Rohrrauheit-Koeffizient k]]/Tabelle1[[#This Row],[Innen-Durchmesser '[mm']]]</f>
        <v>8.1037277147487834E-6</v>
      </c>
      <c r="O99" s="9">
        <f>(Tabelle1[[#This Row],[Wanddicke '[mm']  ]]+(Tabelle1[[#This Row],[Innen-Durchmesser '[mm']]])*2)</f>
        <v>255.10000000000002</v>
      </c>
      <c r="P99" s="9">
        <v>800</v>
      </c>
      <c r="Q99" s="9">
        <f>Tabelle1[[#This Row],[Baulänge Armaturen Schieber&amp;Rück-schlagklappe '[mm']]]+Tabelle1[[#This Row],[Höhe Bogen 3*D '[mm']]]</f>
        <v>1055.0999999999999</v>
      </c>
    </row>
    <row r="100" spans="3:17" x14ac:dyDescent="0.25">
      <c r="C100" s="9" t="s">
        <v>300</v>
      </c>
      <c r="D100" s="64" t="s">
        <v>27</v>
      </c>
      <c r="E100" s="9" t="s">
        <v>31</v>
      </c>
      <c r="F100" s="9">
        <v>180</v>
      </c>
      <c r="G100" s="9">
        <v>10.7</v>
      </c>
      <c r="H100" s="9">
        <f t="shared" si="7"/>
        <v>158.6</v>
      </c>
      <c r="I100" s="10">
        <f t="shared" si="5"/>
        <v>19.745858599999998</v>
      </c>
      <c r="J100" s="9">
        <v>1E-3</v>
      </c>
      <c r="K100" s="9">
        <f t="shared" si="8"/>
        <v>1.5762925598991173E-3</v>
      </c>
      <c r="L100" s="9">
        <f t="shared" si="9"/>
        <v>1.9745858599999999E-2</v>
      </c>
      <c r="M100" s="9">
        <v>0.25</v>
      </c>
      <c r="N100" s="9">
        <f>Tabelle1[[#This Row],[Rohrrauheit-Koeffizient k]]/Tabelle1[[#This Row],[Innen-Durchmesser '[mm']]]</f>
        <v>6.3051702395964691E-6</v>
      </c>
      <c r="O100" s="9">
        <f>(Tabelle1[[#This Row],[Wanddicke '[mm']  ]]+(Tabelle1[[#This Row],[Innen-Durchmesser '[mm']]])*2)</f>
        <v>327.9</v>
      </c>
      <c r="P100" s="9">
        <v>960</v>
      </c>
      <c r="Q100" s="9">
        <f>Tabelle1[[#This Row],[Baulänge Armaturen Schieber&amp;Rück-schlagklappe '[mm']]]+Tabelle1[[#This Row],[Höhe Bogen 3*D '[mm']]]</f>
        <v>1287.9000000000001</v>
      </c>
    </row>
    <row r="101" spans="3:17" x14ac:dyDescent="0.25">
      <c r="C101" s="9" t="s">
        <v>300</v>
      </c>
      <c r="D101" s="64" t="s">
        <v>28</v>
      </c>
      <c r="E101" s="9" t="s">
        <v>31</v>
      </c>
      <c r="F101" s="9">
        <v>225</v>
      </c>
      <c r="G101" s="9">
        <v>13.4</v>
      </c>
      <c r="H101" s="9">
        <f t="shared" si="7"/>
        <v>198.2</v>
      </c>
      <c r="I101" s="10">
        <f t="shared" si="5"/>
        <v>30.837343399999998</v>
      </c>
      <c r="J101" s="9">
        <v>1E-3</v>
      </c>
      <c r="K101" s="9">
        <f t="shared" si="8"/>
        <v>1.2613521695257316E-3</v>
      </c>
      <c r="L101" s="9">
        <f t="shared" si="9"/>
        <v>3.0837343399999998E-2</v>
      </c>
      <c r="M101" s="9">
        <v>0.25</v>
      </c>
      <c r="N101" s="9">
        <f>Tabelle1[[#This Row],[Rohrrauheit-Koeffizient k]]/Tabelle1[[#This Row],[Innen-Durchmesser '[mm']]]</f>
        <v>5.0454086781029267E-6</v>
      </c>
      <c r="O101" s="9">
        <f>(Tabelle1[[#This Row],[Wanddicke '[mm']  ]]+(Tabelle1[[#This Row],[Innen-Durchmesser '[mm']]])*2)</f>
        <v>409.79999999999995</v>
      </c>
      <c r="P101" s="9">
        <v>1200</v>
      </c>
      <c r="Q101" s="9">
        <f>Tabelle1[[#This Row],[Baulänge Armaturen Schieber&amp;Rück-schlagklappe '[mm']]]+Tabelle1[[#This Row],[Höhe Bogen 3*D '[mm']]]</f>
        <v>1609.8</v>
      </c>
    </row>
    <row r="102" spans="3:17" x14ac:dyDescent="0.25">
      <c r="C102" s="9" t="s">
        <v>300</v>
      </c>
      <c r="D102" s="64" t="s">
        <v>29</v>
      </c>
      <c r="E102" s="9" t="s">
        <v>31</v>
      </c>
      <c r="F102" s="9">
        <v>280</v>
      </c>
      <c r="G102" s="9">
        <v>16.600000000000001</v>
      </c>
      <c r="H102" s="9">
        <f t="shared" si="7"/>
        <v>246.8</v>
      </c>
      <c r="I102" s="10">
        <f t="shared" si="5"/>
        <v>47.814538400000011</v>
      </c>
      <c r="J102" s="9">
        <v>1E-3</v>
      </c>
      <c r="K102" s="9">
        <f t="shared" si="8"/>
        <v>1.012965964343598E-3</v>
      </c>
      <c r="L102" s="9">
        <f t="shared" si="9"/>
        <v>4.7814538400000009E-2</v>
      </c>
      <c r="M102" s="9">
        <v>0.25</v>
      </c>
      <c r="N102" s="9">
        <f>Tabelle1[[#This Row],[Rohrrauheit-Koeffizient k]]/Tabelle1[[#This Row],[Innen-Durchmesser '[mm']]]</f>
        <v>4.0518638573743917E-6</v>
      </c>
      <c r="O102" s="9">
        <f>(Tabelle1[[#This Row],[Wanddicke '[mm']  ]]+(Tabelle1[[#This Row],[Innen-Durchmesser '[mm']]])*2)</f>
        <v>510.20000000000005</v>
      </c>
      <c r="P102" s="9">
        <v>1460</v>
      </c>
      <c r="Q102" s="9">
        <f>Tabelle1[[#This Row],[Baulänge Armaturen Schieber&amp;Rück-schlagklappe '[mm']]]+Tabelle1[[#This Row],[Höhe Bogen 3*D '[mm']]]</f>
        <v>1970.2</v>
      </c>
    </row>
    <row r="103" spans="3:17" x14ac:dyDescent="0.25">
      <c r="C103" s="9"/>
      <c r="D103" s="9"/>
      <c r="E103" s="9"/>
      <c r="F103" s="9"/>
      <c r="G103" s="9"/>
      <c r="H103" s="9"/>
      <c r="I103" s="9"/>
      <c r="J103" s="9"/>
      <c r="K103" s="9"/>
      <c r="L103" s="9"/>
      <c r="M103" s="9"/>
      <c r="N103" s="9"/>
      <c r="O103" s="9"/>
      <c r="P103" s="9"/>
      <c r="Q103" s="9"/>
    </row>
    <row r="104" spans="3:17" x14ac:dyDescent="0.25">
      <c r="C104" s="9"/>
      <c r="D104" s="9"/>
      <c r="E104" s="9"/>
      <c r="F104" s="9"/>
      <c r="G104" s="9"/>
      <c r="H104" s="9"/>
      <c r="I104" s="9"/>
      <c r="J104" s="9"/>
      <c r="K104" s="9"/>
      <c r="L104" s="9"/>
      <c r="M104" s="9"/>
      <c r="N104" s="9"/>
      <c r="O104" s="9"/>
      <c r="P104" s="9"/>
      <c r="Q104" s="9"/>
    </row>
    <row r="105" spans="3:17" x14ac:dyDescent="0.25">
      <c r="C105" s="9"/>
      <c r="D105" s="9"/>
      <c r="E105" s="9"/>
      <c r="F105" s="9"/>
      <c r="G105" s="9"/>
      <c r="H105" s="9"/>
      <c r="I105" s="9"/>
      <c r="J105" s="9"/>
      <c r="K105" s="9"/>
      <c r="L105" s="9"/>
      <c r="M105" s="9"/>
      <c r="N105" s="9"/>
      <c r="O105" s="9"/>
      <c r="P105" s="9"/>
      <c r="Q105" s="9"/>
    </row>
    <row r="106" spans="3:17" x14ac:dyDescent="0.25">
      <c r="C106" s="9"/>
      <c r="D106" s="9"/>
      <c r="E106" s="9"/>
      <c r="F106" s="9"/>
      <c r="G106" s="9"/>
      <c r="H106" s="9"/>
      <c r="I106" s="9"/>
      <c r="J106" s="9"/>
      <c r="K106" s="9"/>
      <c r="L106" s="9"/>
      <c r="M106" s="9"/>
      <c r="N106" s="9"/>
      <c r="O106" s="9"/>
      <c r="P106" s="9"/>
      <c r="Q106" s="9"/>
    </row>
    <row r="107" spans="3:17" x14ac:dyDescent="0.25">
      <c r="C107" s="9"/>
      <c r="D107" s="9"/>
      <c r="E107" s="9"/>
      <c r="F107" s="9"/>
      <c r="G107" s="9"/>
      <c r="H107" s="9"/>
      <c r="I107" s="9"/>
      <c r="J107" s="9"/>
      <c r="K107" s="9"/>
      <c r="L107" s="9"/>
      <c r="M107" s="9"/>
      <c r="N107" s="9"/>
      <c r="O107" s="9"/>
      <c r="P107" s="9"/>
      <c r="Q107" s="9"/>
    </row>
    <row r="108" spans="3:17" x14ac:dyDescent="0.25">
      <c r="C108" s="9"/>
      <c r="D108" s="9"/>
      <c r="E108" s="9"/>
      <c r="F108" s="9"/>
      <c r="G108" s="9"/>
      <c r="H108" s="9"/>
      <c r="I108" s="9"/>
      <c r="J108" s="9"/>
      <c r="K108" s="9"/>
      <c r="L108" s="9"/>
      <c r="M108" s="9"/>
      <c r="N108" s="9"/>
      <c r="O108" s="9"/>
      <c r="P108" s="9"/>
      <c r="Q108" s="9"/>
    </row>
    <row r="109" spans="3:17" x14ac:dyDescent="0.25">
      <c r="C109" s="9"/>
      <c r="D109" s="9"/>
      <c r="E109" s="9"/>
      <c r="F109" s="9"/>
      <c r="G109" s="9"/>
      <c r="H109" s="9"/>
      <c r="I109" s="9"/>
      <c r="J109" s="9"/>
      <c r="K109" s="9"/>
      <c r="L109" s="9"/>
      <c r="M109" s="9"/>
      <c r="N109" s="9"/>
      <c r="O109" s="9"/>
      <c r="P109" s="9"/>
      <c r="Q109" s="9"/>
    </row>
    <row r="110" spans="3:17" x14ac:dyDescent="0.25">
      <c r="C110" s="9"/>
      <c r="D110" s="9"/>
      <c r="E110" s="9"/>
      <c r="F110" s="9"/>
      <c r="G110" s="9"/>
      <c r="H110" s="9"/>
      <c r="I110" s="9"/>
      <c r="J110" s="9"/>
      <c r="K110" s="9"/>
      <c r="L110" s="9"/>
      <c r="M110" s="9"/>
      <c r="N110" s="9"/>
      <c r="O110" s="9"/>
      <c r="P110" s="9"/>
      <c r="Q110" s="9"/>
    </row>
    <row r="111" spans="3:17" x14ac:dyDescent="0.25">
      <c r="C111" s="9"/>
      <c r="D111" s="9"/>
      <c r="E111" s="9"/>
      <c r="F111" s="9"/>
      <c r="G111" s="9"/>
      <c r="H111" s="9"/>
      <c r="I111" s="9"/>
      <c r="J111" s="9"/>
      <c r="K111" s="9"/>
      <c r="L111" s="9"/>
      <c r="M111" s="9"/>
      <c r="N111" s="9"/>
      <c r="O111" s="9"/>
      <c r="P111" s="9"/>
      <c r="Q111" s="9"/>
    </row>
    <row r="112" spans="3:17" x14ac:dyDescent="0.25">
      <c r="C112" s="9"/>
      <c r="D112" s="9"/>
      <c r="E112" s="9"/>
      <c r="F112" s="9"/>
      <c r="G112" s="9"/>
      <c r="H112" s="9"/>
      <c r="I112" s="9"/>
      <c r="J112" s="9"/>
      <c r="K112" s="9"/>
      <c r="L112" s="9"/>
      <c r="M112" s="9"/>
      <c r="N112" s="9"/>
      <c r="O112" s="9"/>
      <c r="P112" s="9"/>
      <c r="Q112" s="9"/>
    </row>
    <row r="113" spans="3:17" x14ac:dyDescent="0.25">
      <c r="C113" s="9"/>
      <c r="D113" s="9"/>
      <c r="E113" s="9"/>
      <c r="F113" s="9"/>
      <c r="G113" s="9"/>
      <c r="H113" s="9"/>
      <c r="I113" s="9"/>
      <c r="J113" s="9"/>
      <c r="K113" s="9"/>
      <c r="L113" s="9"/>
      <c r="M113" s="9"/>
      <c r="N113" s="9"/>
      <c r="O113" s="9"/>
      <c r="P113" s="9"/>
      <c r="Q113" s="9"/>
    </row>
    <row r="114" spans="3:17" x14ac:dyDescent="0.25">
      <c r="C114" s="9"/>
      <c r="D114" s="9"/>
      <c r="E114" s="9"/>
      <c r="F114" s="9"/>
      <c r="G114" s="9"/>
      <c r="H114" s="9"/>
      <c r="I114" s="9"/>
      <c r="J114" s="9"/>
      <c r="K114" s="9"/>
      <c r="L114" s="9"/>
      <c r="M114" s="9"/>
      <c r="N114" s="9"/>
      <c r="O114" s="9"/>
      <c r="P114" s="9"/>
      <c r="Q114" s="9"/>
    </row>
    <row r="115" spans="3:17" x14ac:dyDescent="0.25">
      <c r="C115" s="9"/>
      <c r="D115" s="9"/>
      <c r="E115" s="9"/>
      <c r="F115" s="9"/>
      <c r="G115" s="9"/>
      <c r="H115" s="9"/>
      <c r="I115" s="9"/>
      <c r="J115" s="9"/>
      <c r="K115" s="9"/>
      <c r="L115" s="9"/>
      <c r="M115" s="9"/>
      <c r="N115" s="9"/>
      <c r="O115" s="9"/>
      <c r="P115" s="9"/>
      <c r="Q115" s="9"/>
    </row>
    <row r="116" spans="3:17" x14ac:dyDescent="0.25">
      <c r="C116" s="9"/>
      <c r="D116" s="9"/>
      <c r="E116" s="9"/>
      <c r="F116" s="9"/>
      <c r="G116" s="9"/>
      <c r="H116" s="9"/>
      <c r="I116" s="9"/>
      <c r="J116" s="9"/>
      <c r="K116" s="9"/>
      <c r="L116" s="9"/>
      <c r="M116" s="9"/>
      <c r="N116" s="9"/>
      <c r="O116" s="9"/>
      <c r="P116" s="9"/>
      <c r="Q116" s="9"/>
    </row>
    <row r="117" spans="3:17" x14ac:dyDescent="0.25">
      <c r="C117" s="9"/>
      <c r="D117" s="9"/>
      <c r="E117" s="9"/>
      <c r="F117" s="9"/>
      <c r="G117" s="9"/>
      <c r="H117" s="9"/>
      <c r="I117" s="9"/>
      <c r="J117" s="9"/>
      <c r="K117" s="9"/>
      <c r="L117" s="9"/>
      <c r="M117" s="9"/>
      <c r="N117" s="9"/>
      <c r="O117" s="9"/>
      <c r="P117" s="9"/>
      <c r="Q117" s="9"/>
    </row>
    <row r="118" spans="3:17" x14ac:dyDescent="0.25">
      <c r="C118" s="9"/>
      <c r="D118" s="9"/>
      <c r="E118" s="9"/>
      <c r="F118" s="9"/>
      <c r="G118" s="9"/>
      <c r="H118" s="9"/>
      <c r="I118" s="9"/>
      <c r="J118" s="9"/>
      <c r="K118" s="9"/>
      <c r="L118" s="9"/>
      <c r="M118" s="9"/>
      <c r="N118" s="9"/>
      <c r="O118" s="9"/>
      <c r="P118" s="9"/>
      <c r="Q118" s="9"/>
    </row>
    <row r="119" spans="3:17" x14ac:dyDescent="0.25">
      <c r="C119" s="9"/>
      <c r="D119" s="9"/>
      <c r="E119" s="9"/>
      <c r="F119" s="9"/>
      <c r="G119" s="9"/>
      <c r="H119" s="9"/>
      <c r="I119" s="9"/>
      <c r="J119" s="9"/>
      <c r="K119" s="9"/>
      <c r="L119" s="9"/>
      <c r="M119" s="9"/>
      <c r="N119" s="9"/>
      <c r="O119" s="9"/>
      <c r="P119" s="9"/>
      <c r="Q119" s="9"/>
    </row>
    <row r="120" spans="3:17" x14ac:dyDescent="0.25">
      <c r="C120" s="9"/>
      <c r="D120" s="9"/>
      <c r="E120" s="9"/>
      <c r="F120" s="9"/>
      <c r="G120" s="9"/>
      <c r="H120" s="9"/>
      <c r="I120" s="9"/>
      <c r="J120" s="9"/>
      <c r="K120" s="9"/>
      <c r="L120" s="9"/>
      <c r="M120" s="9"/>
      <c r="N120" s="9"/>
      <c r="O120" s="9"/>
      <c r="P120" s="9"/>
      <c r="Q120" s="9"/>
    </row>
    <row r="121" spans="3:17" x14ac:dyDescent="0.25">
      <c r="C121" s="9"/>
      <c r="D121" s="9"/>
      <c r="E121" s="9"/>
      <c r="F121" s="9"/>
      <c r="G121" s="9"/>
      <c r="H121" s="9"/>
      <c r="I121" s="9"/>
      <c r="J121" s="9"/>
      <c r="K121" s="9"/>
      <c r="L121" s="9"/>
      <c r="M121" s="9"/>
      <c r="N121" s="9"/>
      <c r="O121" s="9"/>
      <c r="P121" s="9"/>
      <c r="Q121" s="9"/>
    </row>
    <row r="123" spans="3:17" x14ac:dyDescent="0.25">
      <c r="C123" s="9" t="s">
        <v>43</v>
      </c>
      <c r="G123" t="s">
        <v>289</v>
      </c>
    </row>
    <row r="124" spans="3:17" x14ac:dyDescent="0.25">
      <c r="C124" s="9" t="s">
        <v>376</v>
      </c>
      <c r="G124" s="266" t="s">
        <v>281</v>
      </c>
      <c r="H124" s="265" t="s">
        <v>274</v>
      </c>
      <c r="I124" s="135" t="s">
        <v>275</v>
      </c>
      <c r="J124" s="265"/>
      <c r="K124" s="135" t="s">
        <v>275</v>
      </c>
      <c r="L124" s="265"/>
      <c r="M124" s="134"/>
      <c r="N124" s="134"/>
    </row>
    <row r="125" spans="3:17" x14ac:dyDescent="0.25">
      <c r="C125" s="9" t="s">
        <v>221</v>
      </c>
      <c r="G125" s="267"/>
      <c r="H125" s="265"/>
      <c r="I125" s="135" t="s">
        <v>276</v>
      </c>
      <c r="J125" s="265"/>
      <c r="K125" s="135" t="s">
        <v>277</v>
      </c>
      <c r="L125" s="265"/>
      <c r="M125" s="134"/>
      <c r="N125" s="134"/>
    </row>
    <row r="126" spans="3:17" x14ac:dyDescent="0.25">
      <c r="C126" s="9" t="s">
        <v>222</v>
      </c>
      <c r="G126" s="265" t="s">
        <v>278</v>
      </c>
      <c r="H126" s="265" t="s">
        <v>280</v>
      </c>
      <c r="I126" s="268" t="s">
        <v>279</v>
      </c>
      <c r="J126" s="268" t="s">
        <v>115</v>
      </c>
      <c r="K126" s="268" t="s">
        <v>279</v>
      </c>
      <c r="L126" s="268" t="s">
        <v>115</v>
      </c>
      <c r="M126" s="134"/>
      <c r="N126" s="134"/>
    </row>
    <row r="127" spans="3:17" x14ac:dyDescent="0.25">
      <c r="C127" s="9" t="s">
        <v>35</v>
      </c>
      <c r="G127" s="265"/>
      <c r="H127" s="265"/>
      <c r="I127" s="268"/>
      <c r="J127" s="268"/>
      <c r="K127" s="268"/>
      <c r="L127" s="268"/>
      <c r="M127" s="134"/>
      <c r="N127" s="134"/>
    </row>
    <row r="128" spans="3:17" x14ac:dyDescent="0.25">
      <c r="C128" s="9" t="s">
        <v>375</v>
      </c>
      <c r="G128" s="136">
        <v>15</v>
      </c>
      <c r="H128" s="136">
        <v>21.3</v>
      </c>
      <c r="I128" s="136">
        <v>25</v>
      </c>
      <c r="J128" s="136">
        <v>36</v>
      </c>
      <c r="K128" s="136">
        <v>28</v>
      </c>
      <c r="L128" s="136">
        <v>38</v>
      </c>
      <c r="M128" s="134"/>
      <c r="N128" s="134"/>
    </row>
    <row r="129" spans="3:14" x14ac:dyDescent="0.25">
      <c r="C129" s="9" t="s">
        <v>41</v>
      </c>
      <c r="G129" s="136">
        <v>20</v>
      </c>
      <c r="H129" s="136">
        <v>26.9</v>
      </c>
      <c r="I129" s="136">
        <v>25</v>
      </c>
      <c r="J129" s="136">
        <v>39</v>
      </c>
      <c r="K129" s="136">
        <v>29</v>
      </c>
      <c r="L129" s="136">
        <v>43</v>
      </c>
      <c r="M129" s="134"/>
      <c r="N129" s="134"/>
    </row>
    <row r="130" spans="3:14" x14ac:dyDescent="0.25">
      <c r="C130" s="144" t="s">
        <v>300</v>
      </c>
      <c r="G130" s="136">
        <v>25</v>
      </c>
      <c r="H130" s="136">
        <v>33.700000000000003</v>
      </c>
      <c r="I130" s="136">
        <v>28</v>
      </c>
      <c r="J130" s="136">
        <v>42</v>
      </c>
      <c r="K130" s="136">
        <v>38</v>
      </c>
      <c r="L130" s="136">
        <v>55</v>
      </c>
      <c r="M130" s="134"/>
      <c r="N130" s="134"/>
    </row>
    <row r="131" spans="3:14" x14ac:dyDescent="0.25">
      <c r="C131" t="s">
        <v>106</v>
      </c>
      <c r="G131" s="136">
        <v>32</v>
      </c>
      <c r="H131" s="136">
        <v>42.4</v>
      </c>
      <c r="I131" s="136">
        <v>32</v>
      </c>
      <c r="J131" s="136">
        <v>53</v>
      </c>
      <c r="K131" s="136">
        <v>48</v>
      </c>
      <c r="L131" s="136">
        <v>69</v>
      </c>
      <c r="M131" s="134"/>
      <c r="N131" s="134"/>
    </row>
    <row r="132" spans="3:14" x14ac:dyDescent="0.25">
      <c r="G132" s="136">
        <v>40</v>
      </c>
      <c r="H132" s="136">
        <v>48.3</v>
      </c>
      <c r="I132" s="136">
        <v>38</v>
      </c>
      <c r="J132" s="136">
        <v>62</v>
      </c>
      <c r="K132" s="136">
        <v>57</v>
      </c>
      <c r="L132" s="136">
        <v>82</v>
      </c>
      <c r="M132" s="134"/>
      <c r="N132" s="134"/>
    </row>
    <row r="133" spans="3:14" x14ac:dyDescent="0.25">
      <c r="C133" s="64" t="s">
        <v>43</v>
      </c>
      <c r="G133" s="136">
        <v>50</v>
      </c>
      <c r="H133" s="136">
        <v>60.3</v>
      </c>
      <c r="I133" s="136">
        <v>51</v>
      </c>
      <c r="J133" s="136">
        <v>81</v>
      </c>
      <c r="K133" s="136">
        <v>76</v>
      </c>
      <c r="L133" s="136">
        <v>106</v>
      </c>
      <c r="M133" s="134"/>
      <c r="N133" s="134"/>
    </row>
    <row r="134" spans="3:14" x14ac:dyDescent="0.25">
      <c r="C134" s="64" t="s">
        <v>15</v>
      </c>
      <c r="G134" s="136">
        <v>65</v>
      </c>
      <c r="H134" s="136">
        <v>76.099999999999994</v>
      </c>
      <c r="I134" s="136">
        <v>63</v>
      </c>
      <c r="J134" s="136">
        <v>102</v>
      </c>
      <c r="K134" s="136">
        <v>95</v>
      </c>
      <c r="L134" s="136">
        <v>133</v>
      </c>
      <c r="M134" s="134"/>
      <c r="N134" s="134"/>
    </row>
    <row r="135" spans="3:14" x14ac:dyDescent="0.25">
      <c r="C135" s="64" t="s">
        <v>17</v>
      </c>
      <c r="G135" s="136">
        <v>80</v>
      </c>
      <c r="H135" s="136">
        <v>88.9</v>
      </c>
      <c r="I135" s="136">
        <v>76</v>
      </c>
      <c r="J135" s="136">
        <v>121</v>
      </c>
      <c r="K135" s="136">
        <v>114</v>
      </c>
      <c r="L135" s="136">
        <v>159</v>
      </c>
      <c r="M135" s="134"/>
      <c r="N135" s="134"/>
    </row>
    <row r="136" spans="3:14" x14ac:dyDescent="0.25">
      <c r="C136" s="64" t="s">
        <v>18</v>
      </c>
      <c r="G136" s="136">
        <v>100</v>
      </c>
      <c r="H136" s="136">
        <v>114.3</v>
      </c>
      <c r="I136" s="136">
        <v>102</v>
      </c>
      <c r="J136" s="136">
        <v>159</v>
      </c>
      <c r="K136" s="136">
        <v>152</v>
      </c>
      <c r="L136" s="136">
        <v>209</v>
      </c>
      <c r="M136" s="134"/>
      <c r="N136" s="134"/>
    </row>
    <row r="137" spans="3:14" x14ac:dyDescent="0.25">
      <c r="C137" s="64" t="s">
        <v>19</v>
      </c>
      <c r="G137" s="136">
        <v>125</v>
      </c>
      <c r="H137" s="136">
        <v>139.69999999999999</v>
      </c>
      <c r="I137" s="136">
        <v>127</v>
      </c>
      <c r="J137" s="136">
        <v>197</v>
      </c>
      <c r="K137" s="136">
        <v>190</v>
      </c>
      <c r="L137" s="136">
        <v>260</v>
      </c>
      <c r="M137" s="134"/>
      <c r="N137" s="134"/>
    </row>
    <row r="138" spans="3:14" x14ac:dyDescent="0.25">
      <c r="C138" s="64" t="s">
        <v>20</v>
      </c>
      <c r="G138" s="136">
        <v>150</v>
      </c>
      <c r="H138" s="136">
        <v>168.3</v>
      </c>
      <c r="I138" s="136">
        <v>152</v>
      </c>
      <c r="J138" s="136">
        <v>237</v>
      </c>
      <c r="K138" s="136">
        <v>229</v>
      </c>
      <c r="L138" s="136">
        <v>313</v>
      </c>
      <c r="M138" s="134"/>
      <c r="N138" s="134"/>
    </row>
    <row r="139" spans="3:14" x14ac:dyDescent="0.25">
      <c r="C139" s="64" t="s">
        <v>21</v>
      </c>
      <c r="G139" s="136">
        <v>200</v>
      </c>
      <c r="H139" s="136">
        <v>219.1</v>
      </c>
      <c r="I139" s="136">
        <v>203</v>
      </c>
      <c r="J139" s="136">
        <v>313</v>
      </c>
      <c r="K139" s="136">
        <v>305</v>
      </c>
      <c r="L139" s="136">
        <v>414</v>
      </c>
      <c r="M139" s="134"/>
      <c r="N139" s="134"/>
    </row>
    <row r="140" spans="3:14" x14ac:dyDescent="0.25">
      <c r="C140" s="64" t="s">
        <v>22</v>
      </c>
      <c r="G140" s="136">
        <v>250</v>
      </c>
      <c r="H140" s="136">
        <v>273</v>
      </c>
      <c r="I140" s="136">
        <v>254</v>
      </c>
      <c r="J140" s="136">
        <v>391</v>
      </c>
      <c r="K140" s="136">
        <v>381</v>
      </c>
      <c r="L140" s="136">
        <v>518</v>
      </c>
      <c r="M140" s="134"/>
      <c r="N140" s="134"/>
    </row>
    <row r="141" spans="3:14" x14ac:dyDescent="0.25">
      <c r="C141" s="64" t="s">
        <v>23</v>
      </c>
      <c r="G141" s="134"/>
      <c r="H141" s="134"/>
      <c r="I141" s="134"/>
      <c r="J141" s="134"/>
      <c r="K141" s="134"/>
      <c r="L141" s="134"/>
      <c r="M141" s="134"/>
      <c r="N141" s="134"/>
    </row>
    <row r="142" spans="3:14" x14ac:dyDescent="0.25">
      <c r="C142" s="64" t="s">
        <v>24</v>
      </c>
      <c r="G142" s="134" t="s">
        <v>290</v>
      </c>
      <c r="H142" s="134"/>
      <c r="I142" s="134"/>
      <c r="J142" s="134"/>
      <c r="K142" s="134"/>
      <c r="L142" s="134"/>
      <c r="M142" s="134"/>
      <c r="N142" s="134"/>
    </row>
    <row r="143" spans="3:14" x14ac:dyDescent="0.25">
      <c r="C143" s="64" t="s">
        <v>25</v>
      </c>
      <c r="G143" s="134"/>
      <c r="H143" s="134"/>
      <c r="I143" s="134"/>
      <c r="J143" s="134"/>
      <c r="K143" s="134"/>
      <c r="L143" t="s">
        <v>292</v>
      </c>
    </row>
    <row r="144" spans="3:14" x14ac:dyDescent="0.25">
      <c r="C144" s="64" t="s">
        <v>26</v>
      </c>
      <c r="G144" s="134"/>
      <c r="H144" s="134"/>
      <c r="I144" s="134"/>
      <c r="J144" s="134"/>
      <c r="K144" s="134"/>
      <c r="L144" s="137" t="s">
        <v>278</v>
      </c>
      <c r="M144" s="137" t="s">
        <v>291</v>
      </c>
      <c r="N144" s="137" t="s">
        <v>283</v>
      </c>
    </row>
    <row r="145" spans="3:14" x14ac:dyDescent="0.25">
      <c r="C145" s="64" t="s">
        <v>27</v>
      </c>
      <c r="G145" s="134"/>
      <c r="H145" s="134"/>
      <c r="I145" s="134"/>
      <c r="J145" s="134"/>
      <c r="K145" s="134"/>
      <c r="L145" s="137">
        <v>50</v>
      </c>
      <c r="M145" s="137">
        <v>75</v>
      </c>
      <c r="N145" s="137">
        <f t="shared" ref="N145:N150" si="10">M145*2</f>
        <v>150</v>
      </c>
    </row>
    <row r="146" spans="3:14" x14ac:dyDescent="0.25">
      <c r="C146" s="64" t="s">
        <v>28</v>
      </c>
      <c r="G146" s="134"/>
      <c r="H146" s="134"/>
      <c r="I146" s="134"/>
      <c r="J146" s="134"/>
      <c r="K146" s="134"/>
      <c r="L146" s="137">
        <v>80</v>
      </c>
      <c r="M146" s="137">
        <v>95</v>
      </c>
      <c r="N146" s="137">
        <f t="shared" si="10"/>
        <v>190</v>
      </c>
    </row>
    <row r="147" spans="3:14" ht="15" customHeight="1" x14ac:dyDescent="0.25">
      <c r="C147" s="64" t="s">
        <v>29</v>
      </c>
      <c r="G147" s="134"/>
      <c r="H147" s="134"/>
      <c r="I147" s="134"/>
      <c r="J147" s="134"/>
      <c r="K147" s="134"/>
      <c r="L147" s="137">
        <v>100</v>
      </c>
      <c r="M147" s="137">
        <v>110</v>
      </c>
      <c r="N147" s="137">
        <f t="shared" si="10"/>
        <v>220</v>
      </c>
    </row>
    <row r="148" spans="3:14" ht="15" customHeight="1" x14ac:dyDescent="0.25">
      <c r="G148" s="134"/>
      <c r="H148" s="134"/>
      <c r="I148" s="134"/>
      <c r="J148" s="134"/>
      <c r="K148" s="134"/>
      <c r="L148" s="137">
        <v>125</v>
      </c>
      <c r="M148" s="137">
        <v>125</v>
      </c>
      <c r="N148" s="137">
        <f t="shared" si="10"/>
        <v>250</v>
      </c>
    </row>
    <row r="149" spans="3:14" x14ac:dyDescent="0.25">
      <c r="G149" s="134"/>
      <c r="H149" s="134"/>
      <c r="I149" s="134"/>
      <c r="J149" s="134"/>
      <c r="K149" s="134"/>
      <c r="L149" s="137">
        <v>150</v>
      </c>
      <c r="M149" s="137">
        <v>145</v>
      </c>
      <c r="N149" s="137">
        <f t="shared" si="10"/>
        <v>290</v>
      </c>
    </row>
    <row r="150" spans="3:14" ht="15" customHeight="1" x14ac:dyDescent="0.25">
      <c r="G150" s="134"/>
      <c r="H150" s="134"/>
      <c r="I150" s="134"/>
      <c r="J150" s="134"/>
      <c r="K150" s="134"/>
      <c r="L150" s="137">
        <v>200</v>
      </c>
      <c r="M150" s="137">
        <v>180</v>
      </c>
      <c r="N150" s="137">
        <f t="shared" si="10"/>
        <v>360</v>
      </c>
    </row>
    <row r="165" spans="1:15" x14ac:dyDescent="0.25">
      <c r="A165" t="s">
        <v>284</v>
      </c>
    </row>
    <row r="166" spans="1:15" x14ac:dyDescent="0.25">
      <c r="B166" t="s">
        <v>285</v>
      </c>
    </row>
    <row r="175" spans="1:15" x14ac:dyDescent="0.25">
      <c r="L175" t="s">
        <v>16</v>
      </c>
    </row>
    <row r="176" spans="1:15" x14ac:dyDescent="0.25">
      <c r="L176" s="9" t="s">
        <v>278</v>
      </c>
      <c r="M176" s="9" t="s">
        <v>286</v>
      </c>
      <c r="N176" s="9" t="s">
        <v>287</v>
      </c>
      <c r="O176" s="9" t="s">
        <v>288</v>
      </c>
    </row>
    <row r="177" spans="12:15" x14ac:dyDescent="0.25">
      <c r="L177" s="9">
        <v>15</v>
      </c>
      <c r="M177" s="9">
        <v>28</v>
      </c>
      <c r="N177" s="9">
        <v>40</v>
      </c>
      <c r="O177" s="9">
        <f>N177+(M177*0.5)</f>
        <v>54</v>
      </c>
    </row>
    <row r="178" spans="12:15" x14ac:dyDescent="0.25">
      <c r="L178" s="9">
        <v>20</v>
      </c>
      <c r="M178" s="9">
        <v>36</v>
      </c>
      <c r="N178" s="9">
        <v>50</v>
      </c>
      <c r="O178" s="9">
        <f t="shared" ref="O178:O186" si="11">N178+(M178*0.5)</f>
        <v>68</v>
      </c>
    </row>
    <row r="179" spans="12:15" x14ac:dyDescent="0.25">
      <c r="L179" s="9">
        <v>25</v>
      </c>
      <c r="M179" s="9">
        <v>41</v>
      </c>
      <c r="N179" s="9">
        <v>64</v>
      </c>
      <c r="O179" s="9">
        <f t="shared" si="11"/>
        <v>84.5</v>
      </c>
    </row>
    <row r="180" spans="12:15" x14ac:dyDescent="0.25">
      <c r="L180" s="9">
        <v>32</v>
      </c>
      <c r="M180" s="9">
        <v>51</v>
      </c>
      <c r="N180" s="9">
        <v>80</v>
      </c>
      <c r="O180" s="9">
        <f t="shared" si="11"/>
        <v>105.5</v>
      </c>
    </row>
    <row r="181" spans="12:15" x14ac:dyDescent="0.25">
      <c r="L181" s="9">
        <v>40</v>
      </c>
      <c r="M181" s="9">
        <v>61</v>
      </c>
      <c r="N181" s="9">
        <v>100</v>
      </c>
      <c r="O181" s="9">
        <f t="shared" si="11"/>
        <v>130.5</v>
      </c>
    </row>
    <row r="182" spans="12:15" x14ac:dyDescent="0.25">
      <c r="L182" s="9">
        <v>50</v>
      </c>
      <c r="M182" s="9">
        <v>75</v>
      </c>
      <c r="N182" s="9">
        <v>126</v>
      </c>
      <c r="O182" s="9">
        <f t="shared" si="11"/>
        <v>163.5</v>
      </c>
    </row>
    <row r="183" spans="12:15" x14ac:dyDescent="0.25">
      <c r="L183" s="9">
        <v>63</v>
      </c>
      <c r="M183" s="9">
        <v>95</v>
      </c>
      <c r="N183" s="9">
        <v>150</v>
      </c>
      <c r="O183" s="9">
        <f t="shared" si="11"/>
        <v>197.5</v>
      </c>
    </row>
    <row r="184" spans="12:15" x14ac:dyDescent="0.25">
      <c r="L184" s="9">
        <v>80</v>
      </c>
      <c r="M184" s="9">
        <v>113</v>
      </c>
      <c r="N184" s="9">
        <v>180</v>
      </c>
      <c r="O184" s="9">
        <f t="shared" si="11"/>
        <v>236.5</v>
      </c>
    </row>
    <row r="185" spans="12:15" x14ac:dyDescent="0.25">
      <c r="L185" s="9">
        <v>100</v>
      </c>
      <c r="M185" s="9">
        <v>137</v>
      </c>
      <c r="N185" s="9">
        <v>220</v>
      </c>
      <c r="O185" s="9">
        <f t="shared" si="11"/>
        <v>288.5</v>
      </c>
    </row>
    <row r="186" spans="12:15" x14ac:dyDescent="0.25">
      <c r="L186" s="9">
        <v>150</v>
      </c>
      <c r="M186" s="9">
        <v>189</v>
      </c>
      <c r="N186" s="9">
        <v>207</v>
      </c>
      <c r="O186" s="9">
        <f t="shared" si="11"/>
        <v>301.5</v>
      </c>
    </row>
  </sheetData>
  <sheetProtection algorithmName="SHA-512" hashValue="wMjr70m3Ih7Ct2x6pBt463vBR25ab0UKZRpQpOoKRsI9rDUXPNXwo7jf2rng7XYDDe1+tCN076yeabmzmO4g8g==" saltValue="DcF4IrSK7REHHzshMTycLQ==" spinCount="100000" sheet="1" objects="1" scenarios="1"/>
  <mergeCells count="10">
    <mergeCell ref="H126:H127"/>
    <mergeCell ref="G124:G125"/>
    <mergeCell ref="H124:H125"/>
    <mergeCell ref="J124:J125"/>
    <mergeCell ref="L124:L125"/>
    <mergeCell ref="G126:G127"/>
    <mergeCell ref="I126:I127"/>
    <mergeCell ref="J126:J127"/>
    <mergeCell ref="K126:K127"/>
    <mergeCell ref="L126:L127"/>
  </mergeCells>
  <phoneticPr fontId="43" type="noConversion"/>
  <pageMargins left="0.7" right="0.7" top="0.78740157499999996" bottom="0.78740157499999996" header="0.3" footer="0.3"/>
  <pageSetup paperSize="9" orientation="portrait" r:id="rId1"/>
  <drawing r:id="rId2"/>
  <tableParts count="3">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4:Y48"/>
  <sheetViews>
    <sheetView showGridLines="0" showRowColHeaders="0" workbookViewId="0">
      <selection activeCell="F114" sqref="F114"/>
    </sheetView>
  </sheetViews>
  <sheetFormatPr baseColWidth="10" defaultColWidth="11.42578125" defaultRowHeight="15" x14ac:dyDescent="0.25"/>
  <cols>
    <col min="6" max="6" width="9.7109375" customWidth="1"/>
    <col min="12" max="12" width="13.140625" customWidth="1"/>
    <col min="13" max="13" width="15.28515625" customWidth="1"/>
    <col min="15" max="15" width="11.42578125" customWidth="1"/>
    <col min="16" max="18" width="11.42578125" style="9" customWidth="1"/>
    <col min="21" max="21" width="11.42578125" customWidth="1"/>
  </cols>
  <sheetData>
    <row r="4" spans="3:25" x14ac:dyDescent="0.25">
      <c r="U4" t="s">
        <v>264</v>
      </c>
    </row>
    <row r="5" spans="3:25" x14ac:dyDescent="0.25">
      <c r="C5" s="7" t="s">
        <v>228</v>
      </c>
      <c r="E5" s="269" t="s">
        <v>229</v>
      </c>
      <c r="F5" s="269" t="s">
        <v>230</v>
      </c>
      <c r="G5" t="s">
        <v>231</v>
      </c>
      <c r="L5" t="s">
        <v>232</v>
      </c>
      <c r="M5" t="s">
        <v>220</v>
      </c>
      <c r="U5" t="s">
        <v>233</v>
      </c>
    </row>
    <row r="6" spans="3:25" ht="17.25" x14ac:dyDescent="0.25">
      <c r="C6" s="7" t="s">
        <v>54</v>
      </c>
      <c r="E6" s="269"/>
      <c r="F6" s="269"/>
      <c r="G6" s="9">
        <v>180</v>
      </c>
      <c r="H6" s="9">
        <v>250</v>
      </c>
      <c r="I6" s="9">
        <v>320</v>
      </c>
      <c r="J6" s="9">
        <v>700</v>
      </c>
      <c r="K6" s="9" t="s">
        <v>202</v>
      </c>
      <c r="L6" s="9" t="s">
        <v>234</v>
      </c>
      <c r="M6" s="9" t="s">
        <v>235</v>
      </c>
    </row>
    <row r="7" spans="3:25" x14ac:dyDescent="0.25">
      <c r="U7" s="113" t="str">
        <f>'2'!$K$72</f>
        <v>U1</v>
      </c>
      <c r="V7" t="s">
        <v>229</v>
      </c>
    </row>
    <row r="8" spans="3:25" x14ac:dyDescent="0.25">
      <c r="C8" s="9" t="s">
        <v>43</v>
      </c>
      <c r="D8" t="s">
        <v>236</v>
      </c>
      <c r="E8" s="114" t="s">
        <v>237</v>
      </c>
      <c r="F8" s="18" t="s">
        <v>238</v>
      </c>
      <c r="G8" s="9" t="s">
        <v>239</v>
      </c>
      <c r="H8" s="9" t="s">
        <v>240</v>
      </c>
      <c r="I8" s="9" t="s">
        <v>241</v>
      </c>
      <c r="J8" s="9" t="s">
        <v>242</v>
      </c>
      <c r="K8" s="9" t="s">
        <v>243</v>
      </c>
      <c r="L8" s="9" t="s">
        <v>244</v>
      </c>
      <c r="M8" s="9" t="s">
        <v>245</v>
      </c>
      <c r="U8" s="113">
        <f>'2'!$L$92</f>
        <v>2</v>
      </c>
      <c r="V8" t="s">
        <v>219</v>
      </c>
    </row>
    <row r="9" spans="3:25" x14ac:dyDescent="0.25">
      <c r="C9" s="9">
        <v>1</v>
      </c>
      <c r="D9" t="s">
        <v>124</v>
      </c>
      <c r="E9" s="114" t="s">
        <v>124</v>
      </c>
      <c r="F9" s="18" t="s">
        <v>246</v>
      </c>
      <c r="G9" s="9">
        <v>10</v>
      </c>
      <c r="H9" s="116" t="s">
        <v>247</v>
      </c>
      <c r="I9" s="116" t="s">
        <v>247</v>
      </c>
      <c r="J9" s="116" t="s">
        <v>247</v>
      </c>
      <c r="K9" s="9">
        <v>17</v>
      </c>
      <c r="L9" s="9">
        <v>0.75</v>
      </c>
      <c r="M9" s="9">
        <v>60</v>
      </c>
      <c r="O9" t="b">
        <f>Tabelle4[[#This Row],[Spalte3]]=$U$10</f>
        <v>0</v>
      </c>
      <c r="P9" s="9">
        <f t="shared" ref="P9:P48" si="0">O9*1</f>
        <v>0</v>
      </c>
      <c r="Q9" s="9">
        <f t="shared" ref="Q9:Q48" si="1">ROW(B9)-8</f>
        <v>1</v>
      </c>
      <c r="R9" s="9" t="e">
        <f t="shared" ref="R9:R48" si="2">Q9/P9</f>
        <v>#DIV/0!</v>
      </c>
      <c r="S9" s="64"/>
    </row>
    <row r="10" spans="3:25" x14ac:dyDescent="0.25">
      <c r="C10" s="9">
        <v>1</v>
      </c>
      <c r="D10" t="s">
        <v>112</v>
      </c>
      <c r="E10" s="114" t="s">
        <v>112</v>
      </c>
      <c r="F10" s="18" t="s">
        <v>248</v>
      </c>
      <c r="G10" s="9">
        <v>20</v>
      </c>
      <c r="H10" s="116" t="s">
        <v>247</v>
      </c>
      <c r="I10" s="116" t="s">
        <v>247</v>
      </c>
      <c r="J10" s="116" t="s">
        <v>247</v>
      </c>
      <c r="K10" s="9">
        <v>30</v>
      </c>
      <c r="L10" s="9">
        <v>0.75</v>
      </c>
      <c r="M10" s="9">
        <v>60</v>
      </c>
      <c r="O10" t="b">
        <f>Tabelle4[[#This Row],[Spalte3]]=$U$10</f>
        <v>0</v>
      </c>
      <c r="P10" s="9">
        <f t="shared" si="0"/>
        <v>0</v>
      </c>
      <c r="Q10" s="9">
        <f t="shared" si="1"/>
        <v>2</v>
      </c>
      <c r="R10" s="9" t="e">
        <f t="shared" si="2"/>
        <v>#DIV/0!</v>
      </c>
      <c r="S10" s="64"/>
      <c r="U10" s="117" t="str">
        <f t="array" ref="U10">INDEX(E9:E48,MATCH(U8&amp;U7,C9:C48&amp;D9:D48,0))</f>
        <v>UZ1</v>
      </c>
      <c r="V10" t="s">
        <v>195</v>
      </c>
      <c r="X10" t="s">
        <v>249</v>
      </c>
      <c r="Y10">
        <f>COUNTIFS(Tabelle4[Spalte3],U10)</f>
        <v>1</v>
      </c>
    </row>
    <row r="11" spans="3:25" x14ac:dyDescent="0.25">
      <c r="C11" s="9">
        <v>1</v>
      </c>
      <c r="D11" t="s">
        <v>112</v>
      </c>
      <c r="E11" s="114" t="s">
        <v>112</v>
      </c>
      <c r="F11" s="18" t="s">
        <v>250</v>
      </c>
      <c r="G11" s="9">
        <v>30</v>
      </c>
      <c r="H11" s="9">
        <v>44</v>
      </c>
      <c r="I11" s="116" t="s">
        <v>247</v>
      </c>
      <c r="J11" s="116" t="s">
        <v>247</v>
      </c>
      <c r="K11" s="9">
        <v>62</v>
      </c>
      <c r="L11" s="9">
        <v>0.75</v>
      </c>
      <c r="M11" s="9">
        <v>60</v>
      </c>
      <c r="O11" t="b">
        <f>Tabelle4[[#This Row],[Spalte3]]=$U$10</f>
        <v>0</v>
      </c>
      <c r="P11" s="9">
        <f t="shared" si="0"/>
        <v>0</v>
      </c>
      <c r="Q11" s="9">
        <f t="shared" si="1"/>
        <v>3</v>
      </c>
      <c r="R11" s="9" t="e">
        <f t="shared" si="2"/>
        <v>#DIV/0!</v>
      </c>
      <c r="S11" s="64"/>
    </row>
    <row r="12" spans="3:25" x14ac:dyDescent="0.25">
      <c r="C12" s="9">
        <v>1</v>
      </c>
      <c r="D12" t="s">
        <v>124</v>
      </c>
      <c r="E12" s="114" t="s">
        <v>124</v>
      </c>
      <c r="F12" s="18" t="s">
        <v>250</v>
      </c>
      <c r="G12" s="9">
        <v>30</v>
      </c>
      <c r="H12" s="9">
        <v>46</v>
      </c>
      <c r="I12" s="116" t="s">
        <v>247</v>
      </c>
      <c r="J12" s="116" t="s">
        <v>247</v>
      </c>
      <c r="K12" s="9">
        <v>64</v>
      </c>
      <c r="L12" s="9">
        <v>0.75</v>
      </c>
      <c r="M12" s="9">
        <v>60</v>
      </c>
      <c r="O12" t="b">
        <f>Tabelle4[[#This Row],[Spalte3]]=$U$10</f>
        <v>0</v>
      </c>
      <c r="P12" s="9">
        <f t="shared" si="0"/>
        <v>0</v>
      </c>
      <c r="Q12" s="9">
        <f t="shared" si="1"/>
        <v>4</v>
      </c>
      <c r="R12" s="9" t="e">
        <f t="shared" si="2"/>
        <v>#DIV/0!</v>
      </c>
      <c r="S12" s="64"/>
      <c r="T12" t="s">
        <v>251</v>
      </c>
    </row>
    <row r="13" spans="3:25" x14ac:dyDescent="0.25">
      <c r="C13" s="9">
        <v>1</v>
      </c>
      <c r="D13" t="s">
        <v>122</v>
      </c>
      <c r="E13" s="114" t="s">
        <v>122</v>
      </c>
      <c r="F13" s="18" t="s">
        <v>250</v>
      </c>
      <c r="G13" s="9">
        <v>30</v>
      </c>
      <c r="H13" s="9">
        <v>44</v>
      </c>
      <c r="I13" s="116" t="s">
        <v>247</v>
      </c>
      <c r="J13" s="116" t="s">
        <v>247</v>
      </c>
      <c r="K13" s="9">
        <v>62</v>
      </c>
      <c r="L13" s="9">
        <v>1.5</v>
      </c>
      <c r="M13" s="9">
        <v>60</v>
      </c>
      <c r="O13" t="b">
        <f>Tabelle4[[#This Row],[Spalte3]]=$U$10</f>
        <v>0</v>
      </c>
      <c r="P13" s="9">
        <f t="shared" si="0"/>
        <v>0</v>
      </c>
      <c r="Q13" s="9">
        <f t="shared" si="1"/>
        <v>5</v>
      </c>
      <c r="R13" s="9" t="e">
        <f t="shared" si="2"/>
        <v>#DIV/0!</v>
      </c>
      <c r="S13" s="64"/>
      <c r="T13" s="112">
        <f>IFERROR(_xlfn.AGGREGATE(15,6,$R$9:$R$48,ROW(A1)),"")</f>
        <v>13</v>
      </c>
    </row>
    <row r="14" spans="3:25" x14ac:dyDescent="0.25">
      <c r="C14" s="9">
        <v>1</v>
      </c>
      <c r="D14" t="s">
        <v>125</v>
      </c>
      <c r="E14" s="114" t="s">
        <v>125</v>
      </c>
      <c r="F14" s="18" t="s">
        <v>250</v>
      </c>
      <c r="G14" s="9">
        <v>30</v>
      </c>
      <c r="H14" s="9">
        <v>46</v>
      </c>
      <c r="I14" s="116" t="s">
        <v>247</v>
      </c>
      <c r="J14" s="116" t="s">
        <v>247</v>
      </c>
      <c r="K14" s="9">
        <v>64</v>
      </c>
      <c r="L14" s="9">
        <v>1.5</v>
      </c>
      <c r="M14" s="9">
        <v>60</v>
      </c>
      <c r="O14" t="b">
        <f>Tabelle4[[#This Row],[Spalte3]]=$U$10</f>
        <v>0</v>
      </c>
      <c r="P14" s="9">
        <f t="shared" si="0"/>
        <v>0</v>
      </c>
      <c r="Q14" s="9">
        <f t="shared" si="1"/>
        <v>6</v>
      </c>
      <c r="R14" s="9" t="e">
        <f t="shared" si="2"/>
        <v>#DIV/0!</v>
      </c>
      <c r="S14" s="64"/>
      <c r="T14" s="112" t="str">
        <f>IFERROR(_xlfn.AGGREGATE(15,6,$R$9:$R$48,ROW(A2)),"")</f>
        <v/>
      </c>
    </row>
    <row r="15" spans="3:25" x14ac:dyDescent="0.25">
      <c r="C15" s="9">
        <v>1</v>
      </c>
      <c r="D15" t="s">
        <v>126</v>
      </c>
      <c r="E15" s="114" t="s">
        <v>126</v>
      </c>
      <c r="F15" s="18" t="s">
        <v>250</v>
      </c>
      <c r="G15" s="116" t="s">
        <v>247</v>
      </c>
      <c r="H15" s="9">
        <v>38</v>
      </c>
      <c r="I15" s="116" t="s">
        <v>247</v>
      </c>
      <c r="J15" s="116" t="s">
        <v>247</v>
      </c>
      <c r="K15" s="9">
        <v>58</v>
      </c>
      <c r="L15" s="9">
        <v>2.2000000000000002</v>
      </c>
      <c r="M15" s="9">
        <v>60</v>
      </c>
      <c r="O15" t="b">
        <f>Tabelle4[[#This Row],[Spalte3]]=$U$10</f>
        <v>0</v>
      </c>
      <c r="P15" s="9">
        <f t="shared" si="0"/>
        <v>0</v>
      </c>
      <c r="Q15" s="9">
        <f t="shared" si="1"/>
        <v>7</v>
      </c>
      <c r="R15" s="9" t="e">
        <f t="shared" si="2"/>
        <v>#DIV/0!</v>
      </c>
      <c r="S15" s="64"/>
      <c r="T15" s="112" t="str">
        <f>IFERROR(_xlfn.AGGREGATE(15,6,$R$9:$R$48,ROW(A3)),"")</f>
        <v/>
      </c>
    </row>
    <row r="16" spans="3:25" x14ac:dyDescent="0.25">
      <c r="C16" s="9">
        <v>1</v>
      </c>
      <c r="D16" t="s">
        <v>126</v>
      </c>
      <c r="E16" s="114" t="s">
        <v>126</v>
      </c>
      <c r="F16" s="18" t="s">
        <v>253</v>
      </c>
      <c r="G16" s="116" t="s">
        <v>247</v>
      </c>
      <c r="H16" s="9">
        <v>113</v>
      </c>
      <c r="I16" s="9">
        <v>113</v>
      </c>
      <c r="J16" s="116" t="s">
        <v>247</v>
      </c>
      <c r="K16" s="9">
        <v>133</v>
      </c>
      <c r="L16" s="9">
        <v>2.2000000000000002</v>
      </c>
      <c r="M16" s="9">
        <v>60</v>
      </c>
      <c r="O16" t="b">
        <f>Tabelle4[[#This Row],[Spalte3]]=$U$10</f>
        <v>0</v>
      </c>
      <c r="P16" s="9">
        <f t="shared" si="0"/>
        <v>0</v>
      </c>
      <c r="Q16" s="9">
        <f t="shared" si="1"/>
        <v>8</v>
      </c>
      <c r="R16" s="9" t="e">
        <f t="shared" si="2"/>
        <v>#DIV/0!</v>
      </c>
      <c r="S16" s="64"/>
      <c r="T16" s="112" t="str">
        <f>IFERROR(_xlfn.AGGREGATE(15,6,$R$9:$R$48,ROW(A4)),"")</f>
        <v/>
      </c>
    </row>
    <row r="17" spans="3:23" x14ac:dyDescent="0.25">
      <c r="C17" s="9">
        <v>1</v>
      </c>
      <c r="D17" t="s">
        <v>128</v>
      </c>
      <c r="E17" s="114" t="s">
        <v>128</v>
      </c>
      <c r="F17" s="18" t="s">
        <v>250</v>
      </c>
      <c r="G17" s="116" t="s">
        <v>247</v>
      </c>
      <c r="H17" s="9">
        <v>38</v>
      </c>
      <c r="I17" s="116" t="s">
        <v>247</v>
      </c>
      <c r="J17" s="116" t="s">
        <v>247</v>
      </c>
      <c r="K17" s="9">
        <v>58</v>
      </c>
      <c r="L17" s="9">
        <v>3</v>
      </c>
      <c r="M17" s="9">
        <v>60</v>
      </c>
      <c r="O17" t="b">
        <f>Tabelle4[[#This Row],[Spalte3]]=$U$10</f>
        <v>0</v>
      </c>
      <c r="P17" s="9">
        <f t="shared" si="0"/>
        <v>0</v>
      </c>
      <c r="Q17" s="9">
        <f t="shared" si="1"/>
        <v>9</v>
      </c>
      <c r="R17" s="9" t="e">
        <f t="shared" si="2"/>
        <v>#DIV/0!</v>
      </c>
      <c r="S17" s="64"/>
    </row>
    <row r="18" spans="3:23" x14ac:dyDescent="0.25">
      <c r="C18" s="9">
        <v>1</v>
      </c>
      <c r="D18" t="s">
        <v>128</v>
      </c>
      <c r="E18" s="114" t="s">
        <v>128</v>
      </c>
      <c r="F18" s="18" t="s">
        <v>253</v>
      </c>
      <c r="G18" s="116" t="s">
        <v>247</v>
      </c>
      <c r="H18" s="9">
        <v>113</v>
      </c>
      <c r="I18" s="9">
        <v>113</v>
      </c>
      <c r="J18" s="116" t="s">
        <v>247</v>
      </c>
      <c r="K18" s="9">
        <v>133</v>
      </c>
      <c r="L18" s="9">
        <v>3</v>
      </c>
      <c r="M18" s="9">
        <v>60</v>
      </c>
      <c r="O18" t="b">
        <f>Tabelle4[[#This Row],[Spalte3]]=$U$10</f>
        <v>0</v>
      </c>
      <c r="P18" s="9">
        <f t="shared" si="0"/>
        <v>0</v>
      </c>
      <c r="Q18" s="9">
        <f t="shared" si="1"/>
        <v>10</v>
      </c>
      <c r="R18" s="9" t="e">
        <f t="shared" si="2"/>
        <v>#DIV/0!</v>
      </c>
      <c r="S18" s="64"/>
    </row>
    <row r="19" spans="3:23" x14ac:dyDescent="0.25">
      <c r="C19" s="9">
        <v>1</v>
      </c>
      <c r="D19" t="s">
        <v>130</v>
      </c>
      <c r="E19" s="114" t="s">
        <v>130</v>
      </c>
      <c r="F19" s="18" t="s">
        <v>250</v>
      </c>
      <c r="G19" s="116" t="s">
        <v>247</v>
      </c>
      <c r="H19" s="9">
        <v>38</v>
      </c>
      <c r="I19" s="116" t="s">
        <v>247</v>
      </c>
      <c r="J19" s="116" t="s">
        <v>247</v>
      </c>
      <c r="K19" s="9">
        <v>58</v>
      </c>
      <c r="L19" s="9">
        <v>4.2</v>
      </c>
      <c r="M19" s="9">
        <v>60</v>
      </c>
      <c r="O19" t="b">
        <f>Tabelle4[[#This Row],[Spalte3]]=$U$10</f>
        <v>0</v>
      </c>
      <c r="P19" s="9">
        <f t="shared" si="0"/>
        <v>0</v>
      </c>
      <c r="Q19" s="9">
        <f t="shared" si="1"/>
        <v>11</v>
      </c>
      <c r="R19" s="9" t="e">
        <f t="shared" si="2"/>
        <v>#DIV/0!</v>
      </c>
      <c r="S19" s="64"/>
    </row>
    <row r="20" spans="3:23" x14ac:dyDescent="0.25">
      <c r="C20" s="9">
        <v>1</v>
      </c>
      <c r="D20" t="s">
        <v>130</v>
      </c>
      <c r="E20" s="114" t="s">
        <v>130</v>
      </c>
      <c r="F20" s="18" t="s">
        <v>253</v>
      </c>
      <c r="G20" s="116" t="s">
        <v>247</v>
      </c>
      <c r="H20" s="9">
        <v>113</v>
      </c>
      <c r="I20" s="9">
        <v>113</v>
      </c>
      <c r="J20" s="116" t="s">
        <v>247</v>
      </c>
      <c r="K20" s="9">
        <v>133</v>
      </c>
      <c r="L20" s="9">
        <v>4.2</v>
      </c>
      <c r="M20" s="9">
        <v>60</v>
      </c>
      <c r="O20" t="b">
        <f>Tabelle4[[#This Row],[Spalte3]]=$U$10</f>
        <v>0</v>
      </c>
      <c r="P20" s="9">
        <f t="shared" si="0"/>
        <v>0</v>
      </c>
      <c r="Q20" s="9">
        <f t="shared" si="1"/>
        <v>12</v>
      </c>
      <c r="R20" s="9" t="e">
        <f t="shared" si="2"/>
        <v>#DIV/0!</v>
      </c>
      <c r="S20" s="64"/>
      <c r="W20" s="70"/>
    </row>
    <row r="21" spans="3:23" x14ac:dyDescent="0.25">
      <c r="C21" s="9">
        <v>2</v>
      </c>
      <c r="D21" t="s">
        <v>112</v>
      </c>
      <c r="E21" s="114" t="s">
        <v>113</v>
      </c>
      <c r="F21" s="18" t="s">
        <v>259</v>
      </c>
      <c r="G21" s="9">
        <v>57</v>
      </c>
      <c r="H21" s="9">
        <v>83</v>
      </c>
      <c r="I21" s="116" t="s">
        <v>247</v>
      </c>
      <c r="J21" s="116" t="s">
        <v>247</v>
      </c>
      <c r="K21" s="9">
        <v>91</v>
      </c>
      <c r="L21" s="9">
        <v>0.75</v>
      </c>
      <c r="M21" s="9">
        <v>60</v>
      </c>
      <c r="O21" t="b">
        <f>Tabelle4[[#This Row],[Spalte3]]=$U$10</f>
        <v>1</v>
      </c>
      <c r="P21" s="9">
        <f t="shared" si="0"/>
        <v>1</v>
      </c>
      <c r="Q21" s="9">
        <f t="shared" si="1"/>
        <v>13</v>
      </c>
      <c r="R21" s="9">
        <f t="shared" si="2"/>
        <v>13</v>
      </c>
      <c r="S21" s="64"/>
    </row>
    <row r="22" spans="3:23" x14ac:dyDescent="0.25">
      <c r="C22" s="9">
        <v>2</v>
      </c>
      <c r="D22" t="s">
        <v>124</v>
      </c>
      <c r="E22" s="114" t="s">
        <v>260</v>
      </c>
      <c r="F22" s="18" t="s">
        <v>259</v>
      </c>
      <c r="G22" s="116" t="s">
        <v>247</v>
      </c>
      <c r="H22" s="9">
        <v>85</v>
      </c>
      <c r="I22" s="116" t="s">
        <v>247</v>
      </c>
      <c r="J22" s="116" t="s">
        <v>247</v>
      </c>
      <c r="K22" s="9">
        <v>95</v>
      </c>
      <c r="L22" s="9">
        <v>0.75</v>
      </c>
      <c r="M22" s="9">
        <v>60</v>
      </c>
      <c r="O22" t="b">
        <f>Tabelle4[[#This Row],[Spalte3]]=$U$10</f>
        <v>0</v>
      </c>
      <c r="P22" s="9">
        <f t="shared" si="0"/>
        <v>0</v>
      </c>
      <c r="Q22" s="9">
        <f t="shared" si="1"/>
        <v>14</v>
      </c>
      <c r="R22" s="9" t="e">
        <f t="shared" si="2"/>
        <v>#DIV/0!</v>
      </c>
      <c r="S22" s="64"/>
    </row>
    <row r="23" spans="3:23" x14ac:dyDescent="0.25">
      <c r="C23" s="9">
        <v>2</v>
      </c>
      <c r="D23" t="s">
        <v>122</v>
      </c>
      <c r="E23" s="114" t="s">
        <v>123</v>
      </c>
      <c r="F23" s="18" t="s">
        <v>259</v>
      </c>
      <c r="G23" s="9">
        <v>57</v>
      </c>
      <c r="H23" s="9">
        <v>83</v>
      </c>
      <c r="I23" s="116" t="s">
        <v>247</v>
      </c>
      <c r="J23" s="116" t="s">
        <v>247</v>
      </c>
      <c r="K23" s="9">
        <v>91</v>
      </c>
      <c r="L23" s="9">
        <v>1.5</v>
      </c>
      <c r="M23" s="9">
        <v>60</v>
      </c>
      <c r="O23" t="b">
        <f>Tabelle4[[#This Row],[Spalte3]]=$U$10</f>
        <v>0</v>
      </c>
      <c r="P23" s="9">
        <f t="shared" si="0"/>
        <v>0</v>
      </c>
      <c r="Q23" s="9">
        <f t="shared" si="1"/>
        <v>15</v>
      </c>
      <c r="R23" s="9" t="e">
        <f t="shared" si="2"/>
        <v>#DIV/0!</v>
      </c>
      <c r="S23" s="64"/>
    </row>
    <row r="24" spans="3:23" x14ac:dyDescent="0.25">
      <c r="C24" s="9">
        <v>2</v>
      </c>
      <c r="D24" t="s">
        <v>125</v>
      </c>
      <c r="E24" s="114" t="s">
        <v>261</v>
      </c>
      <c r="F24" s="18" t="s">
        <v>259</v>
      </c>
      <c r="G24" s="116" t="s">
        <v>247</v>
      </c>
      <c r="H24" s="9">
        <v>85</v>
      </c>
      <c r="I24" s="116" t="s">
        <v>247</v>
      </c>
      <c r="J24" s="116" t="s">
        <v>247</v>
      </c>
      <c r="K24" s="9">
        <v>95</v>
      </c>
      <c r="L24" s="9">
        <v>1.5</v>
      </c>
      <c r="M24" s="9">
        <v>60</v>
      </c>
      <c r="O24" t="b">
        <f>Tabelle4[[#This Row],[Spalte3]]=$U$10</f>
        <v>0</v>
      </c>
      <c r="P24" s="9">
        <f t="shared" si="0"/>
        <v>0</v>
      </c>
      <c r="Q24" s="9">
        <f t="shared" si="1"/>
        <v>16</v>
      </c>
      <c r="R24" s="9" t="e">
        <f t="shared" si="2"/>
        <v>#DIV/0!</v>
      </c>
      <c r="S24" s="64"/>
    </row>
    <row r="25" spans="3:23" x14ac:dyDescent="0.25">
      <c r="C25" s="9">
        <v>2</v>
      </c>
      <c r="D25" t="s">
        <v>126</v>
      </c>
      <c r="E25" s="114" t="s">
        <v>127</v>
      </c>
      <c r="F25" s="18" t="s">
        <v>259</v>
      </c>
      <c r="G25" s="116" t="s">
        <v>247</v>
      </c>
      <c r="H25" s="9">
        <v>65</v>
      </c>
      <c r="I25" s="116" t="s">
        <v>247</v>
      </c>
      <c r="J25" s="116" t="s">
        <v>247</v>
      </c>
      <c r="K25" s="9">
        <v>75</v>
      </c>
      <c r="L25" s="9">
        <v>2.2000000000000002</v>
      </c>
      <c r="M25" s="9">
        <v>60</v>
      </c>
      <c r="O25" t="b">
        <f>Tabelle4[[#This Row],[Spalte3]]=$U$10</f>
        <v>0</v>
      </c>
      <c r="P25" s="9">
        <f t="shared" si="0"/>
        <v>0</v>
      </c>
      <c r="Q25" s="9">
        <f t="shared" si="1"/>
        <v>17</v>
      </c>
      <c r="R25" s="9" t="e">
        <f t="shared" si="2"/>
        <v>#DIV/0!</v>
      </c>
      <c r="S25" s="64"/>
    </row>
    <row r="26" spans="3:23" x14ac:dyDescent="0.25">
      <c r="C26" s="9">
        <v>2</v>
      </c>
      <c r="D26" t="s">
        <v>126</v>
      </c>
      <c r="E26" s="114" t="s">
        <v>127</v>
      </c>
      <c r="F26" s="18" t="s">
        <v>253</v>
      </c>
      <c r="G26" s="116" t="s">
        <v>247</v>
      </c>
      <c r="H26" s="9">
        <v>113</v>
      </c>
      <c r="I26" s="9">
        <v>113</v>
      </c>
      <c r="J26" s="116" t="s">
        <v>247</v>
      </c>
      <c r="K26" s="9">
        <v>133</v>
      </c>
      <c r="L26" s="9">
        <v>2.2000000000000002</v>
      </c>
      <c r="M26" s="9">
        <v>60</v>
      </c>
      <c r="O26" t="b">
        <f>Tabelle4[[#This Row],[Spalte3]]=$U$10</f>
        <v>0</v>
      </c>
      <c r="P26" s="9">
        <f t="shared" si="0"/>
        <v>0</v>
      </c>
      <c r="Q26" s="9">
        <f t="shared" si="1"/>
        <v>18</v>
      </c>
      <c r="R26" s="9" t="e">
        <f t="shared" si="2"/>
        <v>#DIV/0!</v>
      </c>
      <c r="S26" s="64"/>
    </row>
    <row r="27" spans="3:23" x14ac:dyDescent="0.25">
      <c r="C27" s="9">
        <v>2</v>
      </c>
      <c r="D27" t="s">
        <v>126</v>
      </c>
      <c r="E27" s="114" t="s">
        <v>127</v>
      </c>
      <c r="F27" s="18" t="s">
        <v>262</v>
      </c>
      <c r="G27" s="116" t="s">
        <v>247</v>
      </c>
      <c r="H27" s="116" t="s">
        <v>247</v>
      </c>
      <c r="I27" s="116" t="s">
        <v>247</v>
      </c>
      <c r="J27" s="9">
        <v>290</v>
      </c>
      <c r="K27" s="116" t="s">
        <v>247</v>
      </c>
      <c r="L27" s="9">
        <v>2.2000000000000002</v>
      </c>
      <c r="M27" s="9">
        <v>60</v>
      </c>
      <c r="O27" t="b">
        <f>Tabelle4[[#This Row],[Spalte3]]=$U$10</f>
        <v>0</v>
      </c>
      <c r="P27" s="9">
        <f t="shared" si="0"/>
        <v>0</v>
      </c>
      <c r="Q27" s="9">
        <f t="shared" si="1"/>
        <v>19</v>
      </c>
      <c r="R27" s="9" t="e">
        <f t="shared" si="2"/>
        <v>#DIV/0!</v>
      </c>
      <c r="S27" s="64"/>
    </row>
    <row r="28" spans="3:23" x14ac:dyDescent="0.25">
      <c r="C28" s="9">
        <v>2</v>
      </c>
      <c r="D28" t="s">
        <v>126</v>
      </c>
      <c r="E28" s="114" t="s">
        <v>127</v>
      </c>
      <c r="F28" s="18" t="s">
        <v>263</v>
      </c>
      <c r="G28" s="116" t="s">
        <v>247</v>
      </c>
      <c r="H28" s="116" t="s">
        <v>247</v>
      </c>
      <c r="I28" s="116" t="s">
        <v>247</v>
      </c>
      <c r="J28" s="9">
        <v>580</v>
      </c>
      <c r="K28" s="116" t="s">
        <v>247</v>
      </c>
      <c r="L28" s="9">
        <v>2.2000000000000002</v>
      </c>
      <c r="M28" s="9">
        <v>60</v>
      </c>
      <c r="O28" t="b">
        <f>Tabelle4[[#This Row],[Spalte3]]=$U$10</f>
        <v>0</v>
      </c>
      <c r="P28" s="9">
        <f t="shared" si="0"/>
        <v>0</v>
      </c>
      <c r="Q28" s="9">
        <f t="shared" si="1"/>
        <v>20</v>
      </c>
      <c r="R28" s="9" t="e">
        <f t="shared" si="2"/>
        <v>#DIV/0!</v>
      </c>
      <c r="S28" s="64"/>
    </row>
    <row r="29" spans="3:23" x14ac:dyDescent="0.25">
      <c r="C29" s="9">
        <v>2</v>
      </c>
      <c r="D29" t="s">
        <v>128</v>
      </c>
      <c r="E29" s="114" t="s">
        <v>129</v>
      </c>
      <c r="F29" s="18" t="s">
        <v>259</v>
      </c>
      <c r="G29" s="116" t="s">
        <v>247</v>
      </c>
      <c r="H29" s="9">
        <v>65</v>
      </c>
      <c r="I29" s="116" t="s">
        <v>247</v>
      </c>
      <c r="J29" s="116" t="s">
        <v>247</v>
      </c>
      <c r="K29" s="9">
        <v>75</v>
      </c>
      <c r="L29" s="9">
        <v>3</v>
      </c>
      <c r="M29" s="9">
        <v>60</v>
      </c>
      <c r="O29" t="b">
        <f>Tabelle4[[#This Row],[Spalte3]]=$U$10</f>
        <v>0</v>
      </c>
      <c r="P29" s="9">
        <f t="shared" si="0"/>
        <v>0</v>
      </c>
      <c r="Q29" s="9">
        <f t="shared" si="1"/>
        <v>21</v>
      </c>
      <c r="R29" s="9" t="e">
        <f t="shared" si="2"/>
        <v>#DIV/0!</v>
      </c>
      <c r="S29" s="64"/>
    </row>
    <row r="30" spans="3:23" x14ac:dyDescent="0.25">
      <c r="C30" s="9">
        <v>2</v>
      </c>
      <c r="D30" t="s">
        <v>128</v>
      </c>
      <c r="E30" s="114" t="s">
        <v>129</v>
      </c>
      <c r="F30" s="18" t="s">
        <v>253</v>
      </c>
      <c r="G30" s="116" t="s">
        <v>247</v>
      </c>
      <c r="H30" s="9">
        <v>113</v>
      </c>
      <c r="I30" s="9">
        <v>113</v>
      </c>
      <c r="J30" s="116" t="s">
        <v>247</v>
      </c>
      <c r="K30" s="9">
        <v>133</v>
      </c>
      <c r="L30" s="9">
        <v>3</v>
      </c>
      <c r="M30" s="9">
        <v>60</v>
      </c>
      <c r="O30" t="b">
        <f>Tabelle4[[#This Row],[Spalte3]]=$U$10</f>
        <v>0</v>
      </c>
      <c r="P30" s="9">
        <f t="shared" si="0"/>
        <v>0</v>
      </c>
      <c r="Q30" s="9">
        <f t="shared" si="1"/>
        <v>22</v>
      </c>
      <c r="R30" s="9" t="e">
        <f t="shared" si="2"/>
        <v>#DIV/0!</v>
      </c>
      <c r="S30" s="64"/>
    </row>
    <row r="31" spans="3:23" x14ac:dyDescent="0.25">
      <c r="C31" s="9">
        <v>2</v>
      </c>
      <c r="D31" t="s">
        <v>128</v>
      </c>
      <c r="E31" s="114" t="s">
        <v>129</v>
      </c>
      <c r="F31" s="18" t="s">
        <v>262</v>
      </c>
      <c r="G31" s="116" t="s">
        <v>247</v>
      </c>
      <c r="H31" s="116" t="s">
        <v>247</v>
      </c>
      <c r="I31" s="116" t="s">
        <v>247</v>
      </c>
      <c r="J31" s="9">
        <v>290</v>
      </c>
      <c r="K31" s="116" t="s">
        <v>247</v>
      </c>
      <c r="L31" s="9">
        <v>3</v>
      </c>
      <c r="M31" s="9">
        <v>60</v>
      </c>
      <c r="O31" t="b">
        <f>Tabelle4[[#This Row],[Spalte3]]=$U$10</f>
        <v>0</v>
      </c>
      <c r="P31" s="9">
        <f t="shared" si="0"/>
        <v>0</v>
      </c>
      <c r="Q31" s="9">
        <f t="shared" si="1"/>
        <v>23</v>
      </c>
      <c r="R31" s="9" t="e">
        <f t="shared" si="2"/>
        <v>#DIV/0!</v>
      </c>
      <c r="S31" s="64"/>
    </row>
    <row r="32" spans="3:23" x14ac:dyDescent="0.25">
      <c r="C32" s="9">
        <v>2</v>
      </c>
      <c r="D32" t="s">
        <v>128</v>
      </c>
      <c r="E32" s="114" t="s">
        <v>129</v>
      </c>
      <c r="F32" s="18" t="s">
        <v>263</v>
      </c>
      <c r="G32" s="116" t="s">
        <v>247</v>
      </c>
      <c r="H32" s="116" t="s">
        <v>247</v>
      </c>
      <c r="I32" s="116" t="s">
        <v>247</v>
      </c>
      <c r="J32" s="9">
        <v>580</v>
      </c>
      <c r="K32" s="116" t="s">
        <v>247</v>
      </c>
      <c r="L32" s="9">
        <v>3</v>
      </c>
      <c r="M32" s="9">
        <v>60</v>
      </c>
      <c r="O32" t="b">
        <f>Tabelle4[[#This Row],[Spalte3]]=$U$10</f>
        <v>0</v>
      </c>
      <c r="P32" s="9">
        <f t="shared" si="0"/>
        <v>0</v>
      </c>
      <c r="Q32" s="9">
        <f t="shared" si="1"/>
        <v>24</v>
      </c>
      <c r="R32" s="9" t="e">
        <f t="shared" si="2"/>
        <v>#DIV/0!</v>
      </c>
      <c r="S32" s="64"/>
    </row>
    <row r="33" spans="3:19" x14ac:dyDescent="0.25">
      <c r="C33" s="9">
        <v>2</v>
      </c>
      <c r="D33" t="s">
        <v>130</v>
      </c>
      <c r="E33" s="114" t="s">
        <v>131</v>
      </c>
      <c r="F33" s="18" t="s">
        <v>259</v>
      </c>
      <c r="G33" s="116" t="s">
        <v>247</v>
      </c>
      <c r="H33" s="9">
        <v>65</v>
      </c>
      <c r="I33" s="116" t="s">
        <v>247</v>
      </c>
      <c r="J33" s="116" t="s">
        <v>247</v>
      </c>
      <c r="K33" s="9">
        <v>75</v>
      </c>
      <c r="L33" s="9">
        <v>4.2</v>
      </c>
      <c r="M33" s="9">
        <v>60</v>
      </c>
      <c r="O33" t="b">
        <f>Tabelle4[[#This Row],[Spalte3]]=$U$10</f>
        <v>0</v>
      </c>
      <c r="P33" s="9">
        <f t="shared" si="0"/>
        <v>0</v>
      </c>
      <c r="Q33" s="9">
        <f t="shared" si="1"/>
        <v>25</v>
      </c>
      <c r="R33" s="9" t="e">
        <f t="shared" si="2"/>
        <v>#DIV/0!</v>
      </c>
      <c r="S33" s="64"/>
    </row>
    <row r="34" spans="3:19" x14ac:dyDescent="0.25">
      <c r="C34" s="9">
        <v>2</v>
      </c>
      <c r="D34" t="s">
        <v>130</v>
      </c>
      <c r="E34" s="114" t="s">
        <v>131</v>
      </c>
      <c r="F34" s="18" t="s">
        <v>253</v>
      </c>
      <c r="G34" s="116" t="s">
        <v>247</v>
      </c>
      <c r="H34" s="9">
        <v>113</v>
      </c>
      <c r="I34" s="9">
        <v>113</v>
      </c>
      <c r="J34" s="116" t="s">
        <v>247</v>
      </c>
      <c r="K34" s="9">
        <v>133</v>
      </c>
      <c r="L34" s="9">
        <v>4.2</v>
      </c>
      <c r="M34" s="9">
        <v>60</v>
      </c>
      <c r="O34" t="b">
        <f>Tabelle4[[#This Row],[Spalte3]]=$U$10</f>
        <v>0</v>
      </c>
      <c r="P34" s="9">
        <f t="shared" si="0"/>
        <v>0</v>
      </c>
      <c r="Q34" s="9">
        <f t="shared" si="1"/>
        <v>26</v>
      </c>
      <c r="R34" s="9" t="e">
        <f t="shared" si="2"/>
        <v>#DIV/0!</v>
      </c>
      <c r="S34" s="64"/>
    </row>
    <row r="35" spans="3:19" x14ac:dyDescent="0.25">
      <c r="C35" s="9">
        <v>2</v>
      </c>
      <c r="D35" t="s">
        <v>130</v>
      </c>
      <c r="E35" s="114" t="s">
        <v>131</v>
      </c>
      <c r="F35" s="18" t="s">
        <v>262</v>
      </c>
      <c r="G35" s="116" t="s">
        <v>247</v>
      </c>
      <c r="H35" s="116" t="s">
        <v>247</v>
      </c>
      <c r="I35" s="116" t="s">
        <v>247</v>
      </c>
      <c r="J35" s="9">
        <v>290</v>
      </c>
      <c r="K35" s="116" t="s">
        <v>247</v>
      </c>
      <c r="L35" s="9">
        <v>4.2</v>
      </c>
      <c r="M35" s="9">
        <v>60</v>
      </c>
      <c r="O35" t="b">
        <f>Tabelle4[[#This Row],[Spalte3]]=$U$10</f>
        <v>0</v>
      </c>
      <c r="P35" s="9">
        <f t="shared" si="0"/>
        <v>0</v>
      </c>
      <c r="Q35" s="9">
        <f t="shared" si="1"/>
        <v>27</v>
      </c>
      <c r="R35" s="9" t="e">
        <f t="shared" si="2"/>
        <v>#DIV/0!</v>
      </c>
      <c r="S35" s="64"/>
    </row>
    <row r="36" spans="3:19" x14ac:dyDescent="0.25">
      <c r="C36" s="9">
        <v>2</v>
      </c>
      <c r="D36" t="s">
        <v>130</v>
      </c>
      <c r="E36" s="114" t="s">
        <v>131</v>
      </c>
      <c r="F36" s="18" t="s">
        <v>263</v>
      </c>
      <c r="G36" s="116" t="s">
        <v>247</v>
      </c>
      <c r="H36" s="116" t="s">
        <v>247</v>
      </c>
      <c r="I36" s="116" t="s">
        <v>247</v>
      </c>
      <c r="J36" s="9">
        <v>580</v>
      </c>
      <c r="K36" s="116" t="s">
        <v>247</v>
      </c>
      <c r="L36" s="9">
        <v>4.2</v>
      </c>
      <c r="M36" s="9">
        <v>60</v>
      </c>
      <c r="O36" t="b">
        <f>Tabelle4[[#This Row],[Spalte3]]=$U$10</f>
        <v>0</v>
      </c>
      <c r="P36" s="9">
        <f t="shared" si="0"/>
        <v>0</v>
      </c>
      <c r="Q36" s="9">
        <f t="shared" si="1"/>
        <v>28</v>
      </c>
      <c r="R36" s="9" t="e">
        <f t="shared" si="2"/>
        <v>#DIV/0!</v>
      </c>
      <c r="S36" s="64"/>
    </row>
    <row r="37" spans="3:19" x14ac:dyDescent="0.25">
      <c r="C37" s="9">
        <v>2</v>
      </c>
      <c r="D37" t="s">
        <v>252</v>
      </c>
      <c r="E37" s="114" t="s">
        <v>132</v>
      </c>
      <c r="F37" s="18" t="s">
        <v>262</v>
      </c>
      <c r="G37" s="116" t="s">
        <v>247</v>
      </c>
      <c r="H37" s="116" t="s">
        <v>247</v>
      </c>
      <c r="I37" s="116" t="s">
        <v>247</v>
      </c>
      <c r="J37" s="9">
        <v>290</v>
      </c>
      <c r="K37" s="116" t="s">
        <v>247</v>
      </c>
      <c r="L37" s="9">
        <v>2.2999999999999998</v>
      </c>
      <c r="M37" s="9">
        <v>20</v>
      </c>
      <c r="O37" t="b">
        <f>Tabelle4[[#This Row],[Spalte3]]=$U$10</f>
        <v>0</v>
      </c>
      <c r="P37" s="9">
        <f t="shared" si="0"/>
        <v>0</v>
      </c>
      <c r="Q37" s="9">
        <f t="shared" si="1"/>
        <v>29</v>
      </c>
      <c r="R37" s="9" t="e">
        <f t="shared" si="2"/>
        <v>#DIV/0!</v>
      </c>
      <c r="S37" s="64"/>
    </row>
    <row r="38" spans="3:19" x14ac:dyDescent="0.25">
      <c r="C38" s="9">
        <v>2</v>
      </c>
      <c r="D38" t="s">
        <v>252</v>
      </c>
      <c r="E38" s="114" t="s">
        <v>132</v>
      </c>
      <c r="F38" s="18" t="s">
        <v>263</v>
      </c>
      <c r="G38" s="116" t="s">
        <v>247</v>
      </c>
      <c r="H38" s="116" t="s">
        <v>247</v>
      </c>
      <c r="I38" s="116" t="s">
        <v>247</v>
      </c>
      <c r="J38" s="9">
        <v>580</v>
      </c>
      <c r="K38" s="116" t="s">
        <v>247</v>
      </c>
      <c r="L38" s="9">
        <v>2.2999999999999998</v>
      </c>
      <c r="M38" s="9">
        <v>20</v>
      </c>
      <c r="O38" t="b">
        <f>Tabelle4[[#This Row],[Spalte3]]=$U$10</f>
        <v>0</v>
      </c>
      <c r="P38" s="9">
        <f t="shared" si="0"/>
        <v>0</v>
      </c>
      <c r="Q38" s="9">
        <f t="shared" si="1"/>
        <v>30</v>
      </c>
      <c r="R38" s="9" t="e">
        <f t="shared" si="2"/>
        <v>#DIV/0!</v>
      </c>
      <c r="S38" s="64"/>
    </row>
    <row r="39" spans="3:19" x14ac:dyDescent="0.25">
      <c r="C39" s="9">
        <v>2</v>
      </c>
      <c r="D39" t="s">
        <v>254</v>
      </c>
      <c r="E39" s="114" t="s">
        <v>133</v>
      </c>
      <c r="F39" s="18" t="s">
        <v>262</v>
      </c>
      <c r="G39" s="116" t="s">
        <v>247</v>
      </c>
      <c r="H39" s="116" t="s">
        <v>247</v>
      </c>
      <c r="I39" s="116" t="s">
        <v>247</v>
      </c>
      <c r="J39" s="9">
        <v>290</v>
      </c>
      <c r="K39" s="116" t="s">
        <v>247</v>
      </c>
      <c r="L39" s="9">
        <v>3.55</v>
      </c>
      <c r="M39" s="9">
        <v>20</v>
      </c>
      <c r="O39" t="b">
        <f>Tabelle4[[#This Row],[Spalte3]]=$U$10</f>
        <v>0</v>
      </c>
      <c r="P39" s="9">
        <f t="shared" si="0"/>
        <v>0</v>
      </c>
      <c r="Q39" s="9">
        <f t="shared" si="1"/>
        <v>31</v>
      </c>
      <c r="R39" s="9" t="e">
        <f t="shared" si="2"/>
        <v>#DIV/0!</v>
      </c>
      <c r="S39" s="64"/>
    </row>
    <row r="40" spans="3:19" x14ac:dyDescent="0.25">
      <c r="C40" s="9">
        <v>2</v>
      </c>
      <c r="D40" t="s">
        <v>254</v>
      </c>
      <c r="E40" s="114" t="s">
        <v>133</v>
      </c>
      <c r="F40" s="18" t="s">
        <v>263</v>
      </c>
      <c r="G40" s="116" t="s">
        <v>247</v>
      </c>
      <c r="H40" s="116" t="s">
        <v>247</v>
      </c>
      <c r="I40" s="116" t="s">
        <v>247</v>
      </c>
      <c r="J40" s="9">
        <v>580</v>
      </c>
      <c r="K40" s="116" t="s">
        <v>247</v>
      </c>
      <c r="L40" s="9">
        <v>3.55</v>
      </c>
      <c r="M40" s="9">
        <v>20</v>
      </c>
      <c r="O40" t="b">
        <f>Tabelle4[[#This Row],[Spalte3]]=$U$10</f>
        <v>0</v>
      </c>
      <c r="P40" s="9">
        <f t="shared" si="0"/>
        <v>0</v>
      </c>
      <c r="Q40" s="9">
        <f t="shared" si="1"/>
        <v>32</v>
      </c>
      <c r="R40" s="9" t="e">
        <f t="shared" si="2"/>
        <v>#DIV/0!</v>
      </c>
      <c r="S40" s="64"/>
    </row>
    <row r="41" spans="3:19" x14ac:dyDescent="0.25">
      <c r="C41" s="9">
        <v>2</v>
      </c>
      <c r="D41" t="s">
        <v>255</v>
      </c>
      <c r="E41" s="114" t="s">
        <v>134</v>
      </c>
      <c r="F41" s="18" t="s">
        <v>262</v>
      </c>
      <c r="G41" s="116" t="s">
        <v>247</v>
      </c>
      <c r="H41" s="116" t="s">
        <v>247</v>
      </c>
      <c r="I41" s="116" t="s">
        <v>247</v>
      </c>
      <c r="J41" s="9">
        <v>290</v>
      </c>
      <c r="K41" s="116" t="s">
        <v>247</v>
      </c>
      <c r="L41" s="9">
        <v>5.5</v>
      </c>
      <c r="M41" s="9">
        <v>20</v>
      </c>
      <c r="O41" t="b">
        <f>Tabelle4[[#This Row],[Spalte3]]=$U$10</f>
        <v>0</v>
      </c>
      <c r="P41" s="9">
        <f t="shared" si="0"/>
        <v>0</v>
      </c>
      <c r="Q41" s="9">
        <f t="shared" si="1"/>
        <v>33</v>
      </c>
      <c r="R41" s="9" t="e">
        <f t="shared" si="2"/>
        <v>#DIV/0!</v>
      </c>
      <c r="S41" s="64"/>
    </row>
    <row r="42" spans="3:19" x14ac:dyDescent="0.25">
      <c r="C42" s="9">
        <v>2</v>
      </c>
      <c r="D42" t="s">
        <v>255</v>
      </c>
      <c r="E42" s="114" t="s">
        <v>134</v>
      </c>
      <c r="F42" s="18" t="s">
        <v>263</v>
      </c>
      <c r="G42" s="116" t="s">
        <v>247</v>
      </c>
      <c r="H42" s="116" t="s">
        <v>247</v>
      </c>
      <c r="I42" s="116" t="s">
        <v>247</v>
      </c>
      <c r="J42" s="9">
        <v>580</v>
      </c>
      <c r="K42" s="116" t="s">
        <v>247</v>
      </c>
      <c r="L42" s="9">
        <v>5.5</v>
      </c>
      <c r="M42" s="9">
        <v>20</v>
      </c>
      <c r="O42" t="b">
        <f>Tabelle4[[#This Row],[Spalte3]]=$U$10</f>
        <v>0</v>
      </c>
      <c r="P42" s="9">
        <f t="shared" si="0"/>
        <v>0</v>
      </c>
      <c r="Q42" s="9">
        <f t="shared" si="1"/>
        <v>34</v>
      </c>
      <c r="R42" s="9" t="e">
        <f t="shared" si="2"/>
        <v>#DIV/0!</v>
      </c>
      <c r="S42" s="64"/>
    </row>
    <row r="43" spans="3:19" x14ac:dyDescent="0.25">
      <c r="C43" s="9">
        <v>2</v>
      </c>
      <c r="D43" t="s">
        <v>256</v>
      </c>
      <c r="E43" s="114" t="s">
        <v>135</v>
      </c>
      <c r="F43" s="18" t="s">
        <v>262</v>
      </c>
      <c r="G43" s="116" t="s">
        <v>247</v>
      </c>
      <c r="H43" s="116" t="s">
        <v>247</v>
      </c>
      <c r="I43" s="116" t="s">
        <v>247</v>
      </c>
      <c r="J43" s="9">
        <v>290</v>
      </c>
      <c r="K43" s="116" t="s">
        <v>247</v>
      </c>
      <c r="L43" s="9">
        <v>7.5</v>
      </c>
      <c r="M43" s="9">
        <v>20</v>
      </c>
      <c r="O43" t="b">
        <f>Tabelle4[[#This Row],[Spalte3]]=$U$10</f>
        <v>0</v>
      </c>
      <c r="P43" s="9">
        <f t="shared" si="0"/>
        <v>0</v>
      </c>
      <c r="Q43" s="9">
        <f t="shared" si="1"/>
        <v>35</v>
      </c>
      <c r="R43" s="9" t="e">
        <f t="shared" si="2"/>
        <v>#DIV/0!</v>
      </c>
      <c r="S43" s="64"/>
    </row>
    <row r="44" spans="3:19" x14ac:dyDescent="0.25">
      <c r="C44" s="9">
        <v>2</v>
      </c>
      <c r="D44" t="s">
        <v>256</v>
      </c>
      <c r="E44" s="114" t="s">
        <v>135</v>
      </c>
      <c r="F44" s="18" t="s">
        <v>263</v>
      </c>
      <c r="G44" s="116" t="s">
        <v>247</v>
      </c>
      <c r="H44" s="116" t="s">
        <v>247</v>
      </c>
      <c r="I44" s="116" t="s">
        <v>247</v>
      </c>
      <c r="J44" s="9">
        <v>580</v>
      </c>
      <c r="K44" s="116" t="s">
        <v>247</v>
      </c>
      <c r="L44" s="9">
        <v>7.5</v>
      </c>
      <c r="M44" s="9">
        <v>20</v>
      </c>
      <c r="O44" t="b">
        <f>Tabelle4[[#This Row],[Spalte3]]=$U$10</f>
        <v>0</v>
      </c>
      <c r="P44" s="9">
        <f t="shared" si="0"/>
        <v>0</v>
      </c>
      <c r="Q44" s="9">
        <f t="shared" si="1"/>
        <v>36</v>
      </c>
      <c r="R44" s="9" t="e">
        <f t="shared" si="2"/>
        <v>#DIV/0!</v>
      </c>
      <c r="S44" s="64"/>
    </row>
    <row r="45" spans="3:19" x14ac:dyDescent="0.25">
      <c r="C45" s="9">
        <v>2</v>
      </c>
      <c r="D45" t="s">
        <v>257</v>
      </c>
      <c r="E45" s="114" t="s">
        <v>137</v>
      </c>
      <c r="F45" s="18" t="s">
        <v>262</v>
      </c>
      <c r="G45" s="116" t="s">
        <v>247</v>
      </c>
      <c r="H45" s="116" t="s">
        <v>247</v>
      </c>
      <c r="I45" s="116" t="s">
        <v>247</v>
      </c>
      <c r="J45" s="9">
        <v>290</v>
      </c>
      <c r="K45" s="116" t="s">
        <v>247</v>
      </c>
      <c r="L45" s="9">
        <v>11</v>
      </c>
      <c r="M45" s="9">
        <v>15</v>
      </c>
      <c r="O45" t="b">
        <f>Tabelle4[[#This Row],[Spalte3]]=$U$10</f>
        <v>0</v>
      </c>
      <c r="P45" s="9">
        <f t="shared" si="0"/>
        <v>0</v>
      </c>
      <c r="Q45" s="9">
        <f t="shared" si="1"/>
        <v>37</v>
      </c>
      <c r="R45" s="9" t="e">
        <f t="shared" si="2"/>
        <v>#DIV/0!</v>
      </c>
      <c r="S45" s="64"/>
    </row>
    <row r="46" spans="3:19" x14ac:dyDescent="0.25">
      <c r="C46" s="9">
        <v>2</v>
      </c>
      <c r="D46" t="s">
        <v>257</v>
      </c>
      <c r="E46" s="114" t="s">
        <v>137</v>
      </c>
      <c r="F46" s="18" t="s">
        <v>263</v>
      </c>
      <c r="G46" s="116" t="s">
        <v>247</v>
      </c>
      <c r="H46" s="116" t="s">
        <v>247</v>
      </c>
      <c r="I46" s="116" t="s">
        <v>247</v>
      </c>
      <c r="J46" s="9">
        <v>580</v>
      </c>
      <c r="K46" s="116" t="s">
        <v>247</v>
      </c>
      <c r="L46" s="9">
        <v>11</v>
      </c>
      <c r="M46" s="9">
        <v>15</v>
      </c>
      <c r="O46" t="b">
        <f>Tabelle4[[#This Row],[Spalte3]]=$U$10</f>
        <v>0</v>
      </c>
      <c r="P46" s="9">
        <f t="shared" si="0"/>
        <v>0</v>
      </c>
      <c r="Q46" s="9">
        <f t="shared" si="1"/>
        <v>38</v>
      </c>
      <c r="R46" s="9" t="e">
        <f t="shared" si="2"/>
        <v>#DIV/0!</v>
      </c>
      <c r="S46" s="64"/>
    </row>
    <row r="47" spans="3:19" x14ac:dyDescent="0.25">
      <c r="C47" s="9">
        <v>2</v>
      </c>
      <c r="D47" t="s">
        <v>258</v>
      </c>
      <c r="E47" s="114" t="s">
        <v>138</v>
      </c>
      <c r="F47" s="18" t="s">
        <v>262</v>
      </c>
      <c r="G47" s="116" t="s">
        <v>247</v>
      </c>
      <c r="H47" s="116" t="s">
        <v>247</v>
      </c>
      <c r="I47" s="116" t="s">
        <v>247</v>
      </c>
      <c r="J47" s="9">
        <v>290</v>
      </c>
      <c r="K47" s="116" t="s">
        <v>247</v>
      </c>
      <c r="L47" s="9">
        <v>11</v>
      </c>
      <c r="M47" s="9">
        <v>15</v>
      </c>
      <c r="O47" t="b">
        <f>Tabelle4[[#This Row],[Spalte3]]=$U$10</f>
        <v>0</v>
      </c>
      <c r="P47" s="9">
        <f t="shared" si="0"/>
        <v>0</v>
      </c>
      <c r="Q47" s="9">
        <f t="shared" si="1"/>
        <v>39</v>
      </c>
      <c r="R47" s="9" t="e">
        <f t="shared" si="2"/>
        <v>#DIV/0!</v>
      </c>
      <c r="S47" s="64"/>
    </row>
    <row r="48" spans="3:19" x14ac:dyDescent="0.25">
      <c r="C48" s="9">
        <v>2</v>
      </c>
      <c r="D48" t="s">
        <v>258</v>
      </c>
      <c r="E48" s="114" t="s">
        <v>138</v>
      </c>
      <c r="F48" s="18" t="s">
        <v>263</v>
      </c>
      <c r="G48" s="116" t="s">
        <v>247</v>
      </c>
      <c r="H48" s="116" t="s">
        <v>247</v>
      </c>
      <c r="I48" s="116" t="s">
        <v>247</v>
      </c>
      <c r="J48" s="9">
        <v>580</v>
      </c>
      <c r="K48" s="116" t="s">
        <v>247</v>
      </c>
      <c r="L48" s="9">
        <v>11</v>
      </c>
      <c r="M48" s="9">
        <v>15</v>
      </c>
      <c r="O48" t="b">
        <f>Tabelle4[[#This Row],[Spalte3]]=$U$10</f>
        <v>0</v>
      </c>
      <c r="P48" s="9">
        <f t="shared" si="0"/>
        <v>0</v>
      </c>
      <c r="Q48" s="9">
        <f t="shared" si="1"/>
        <v>40</v>
      </c>
      <c r="R48" s="9" t="e">
        <f t="shared" si="2"/>
        <v>#DIV/0!</v>
      </c>
      <c r="S48" s="64"/>
    </row>
  </sheetData>
  <sheetProtection algorithmName="SHA-512" hashValue="dJTIadVTdW5A4DF9QYHdWZ3s9OQ6Cxd2rVPAWhM07labqDup9MCWDlL5d/VmgIP7jY1dapz71ky37r9eOF9yFA==" saltValue="87Rn0txHdM6xzOc7MLDppQ==" spinCount="100000" sheet="1" objects="1" scenarios="1"/>
  <mergeCells count="2">
    <mergeCell ref="E5:E6"/>
    <mergeCell ref="F5:F6"/>
  </mergeCells>
  <pageMargins left="0.7" right="0.7" top="0.78740157499999996" bottom="0.78740157499999996"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W299"/>
  <sheetViews>
    <sheetView showGridLines="0" showRowColHeaders="0" topLeftCell="A25" zoomScale="98" zoomScaleNormal="98" workbookViewId="0">
      <selection activeCell="F114" sqref="F114"/>
    </sheetView>
  </sheetViews>
  <sheetFormatPr baseColWidth="10" defaultColWidth="11.42578125" defaultRowHeight="15" x14ac:dyDescent="0.25"/>
  <cols>
    <col min="18" max="18" width="17.7109375" bestFit="1" customWidth="1"/>
  </cols>
  <sheetData>
    <row r="2" spans="1:1" x14ac:dyDescent="0.25">
      <c r="A2" s="115" t="s">
        <v>43</v>
      </c>
    </row>
    <row r="3" spans="1:1" x14ac:dyDescent="0.25">
      <c r="A3" s="115" t="s">
        <v>124</v>
      </c>
    </row>
    <row r="4" spans="1:1" x14ac:dyDescent="0.25">
      <c r="A4" s="115" t="s">
        <v>125</v>
      </c>
    </row>
    <row r="5" spans="1:1" x14ac:dyDescent="0.25">
      <c r="A5" s="115" t="s">
        <v>112</v>
      </c>
    </row>
    <row r="6" spans="1:1" x14ac:dyDescent="0.25">
      <c r="A6" s="115" t="s">
        <v>122</v>
      </c>
    </row>
    <row r="7" spans="1:1" x14ac:dyDescent="0.25">
      <c r="A7" s="115" t="s">
        <v>126</v>
      </c>
    </row>
    <row r="8" spans="1:1" x14ac:dyDescent="0.25">
      <c r="A8" s="115" t="s">
        <v>128</v>
      </c>
    </row>
    <row r="9" spans="1:1" x14ac:dyDescent="0.25">
      <c r="A9" s="115" t="s">
        <v>130</v>
      </c>
    </row>
    <row r="10" spans="1:1" x14ac:dyDescent="0.25">
      <c r="A10" s="115" t="s">
        <v>252</v>
      </c>
    </row>
    <row r="11" spans="1:1" x14ac:dyDescent="0.25">
      <c r="A11" s="115" t="s">
        <v>254</v>
      </c>
    </row>
    <row r="12" spans="1:1" x14ac:dyDescent="0.25">
      <c r="A12" s="115" t="s">
        <v>255</v>
      </c>
    </row>
    <row r="13" spans="1:1" x14ac:dyDescent="0.25">
      <c r="A13" s="115" t="s">
        <v>256</v>
      </c>
    </row>
    <row r="14" spans="1:1" x14ac:dyDescent="0.25">
      <c r="A14" s="115" t="s">
        <v>257</v>
      </c>
    </row>
    <row r="15" spans="1:1" x14ac:dyDescent="0.25">
      <c r="A15" s="115" t="s">
        <v>258</v>
      </c>
    </row>
    <row r="17" spans="1:21" x14ac:dyDescent="0.25">
      <c r="A17" t="s">
        <v>111</v>
      </c>
      <c r="P17" s="70"/>
    </row>
    <row r="18" spans="1:21" x14ac:dyDescent="0.25">
      <c r="A18" s="9" t="s">
        <v>112</v>
      </c>
      <c r="C18" t="s">
        <v>113</v>
      </c>
    </row>
    <row r="19" spans="1:21" x14ac:dyDescent="0.25">
      <c r="A19" s="9" t="s">
        <v>114</v>
      </c>
      <c r="B19" s="9" t="s">
        <v>115</v>
      </c>
      <c r="C19" s="9" t="s">
        <v>139</v>
      </c>
      <c r="D19" s="9" t="s">
        <v>140</v>
      </c>
      <c r="E19" s="9" t="s">
        <v>116</v>
      </c>
    </row>
    <row r="20" spans="1:21" x14ac:dyDescent="0.25">
      <c r="A20" s="9">
        <v>0</v>
      </c>
      <c r="B20" s="9">
        <v>11.9</v>
      </c>
      <c r="C20" s="64">
        <f t="shared" ref="C20:C26" si="0">2*A20</f>
        <v>0</v>
      </c>
      <c r="D20" s="64">
        <f t="shared" ref="D20:D26" si="1">B20</f>
        <v>11.9</v>
      </c>
      <c r="E20" s="9">
        <v>0.6</v>
      </c>
      <c r="Q20" t="s">
        <v>117</v>
      </c>
      <c r="R20" t="s">
        <v>118</v>
      </c>
      <c r="S20" t="s">
        <v>119</v>
      </c>
      <c r="T20" t="s">
        <v>120</v>
      </c>
      <c r="U20" t="s">
        <v>121</v>
      </c>
    </row>
    <row r="21" spans="1:21" x14ac:dyDescent="0.25">
      <c r="A21" s="9">
        <v>5</v>
      </c>
      <c r="B21" s="9">
        <v>10.5</v>
      </c>
      <c r="C21" s="64">
        <f t="shared" si="0"/>
        <v>10</v>
      </c>
      <c r="D21" s="64">
        <f t="shared" si="1"/>
        <v>10.5</v>
      </c>
      <c r="E21" s="9">
        <v>0.68</v>
      </c>
      <c r="S21" s="9">
        <v>4.1000000000000003E-3</v>
      </c>
      <c r="T21" s="9">
        <v>0.26929999999999998</v>
      </c>
      <c r="U21" s="9">
        <v>11.911</v>
      </c>
    </row>
    <row r="22" spans="1:21" x14ac:dyDescent="0.25">
      <c r="A22" s="9">
        <v>10</v>
      </c>
      <c r="B22" s="9">
        <v>8.8000000000000007</v>
      </c>
      <c r="C22" s="64">
        <f t="shared" si="0"/>
        <v>20</v>
      </c>
      <c r="D22" s="64">
        <f t="shared" si="1"/>
        <v>8.8000000000000007</v>
      </c>
      <c r="E22" s="9">
        <v>0.74</v>
      </c>
    </row>
    <row r="23" spans="1:21" x14ac:dyDescent="0.25">
      <c r="A23" s="9">
        <v>12.7</v>
      </c>
      <c r="B23" s="9">
        <v>7.8</v>
      </c>
      <c r="C23" s="64">
        <f t="shared" si="0"/>
        <v>25.4</v>
      </c>
      <c r="D23" s="64">
        <f t="shared" si="1"/>
        <v>7.8</v>
      </c>
      <c r="E23" s="9">
        <v>0.76400000000000001</v>
      </c>
    </row>
    <row r="24" spans="1:21" x14ac:dyDescent="0.25">
      <c r="A24" s="9">
        <v>19.8</v>
      </c>
      <c r="B24" s="9">
        <v>5</v>
      </c>
      <c r="C24" s="64">
        <f t="shared" si="0"/>
        <v>39.6</v>
      </c>
      <c r="D24" s="64">
        <f t="shared" si="1"/>
        <v>5</v>
      </c>
      <c r="E24" s="9">
        <v>0.8</v>
      </c>
      <c r="Q24" s="9" t="s">
        <v>114</v>
      </c>
      <c r="R24" s="9" t="s">
        <v>115</v>
      </c>
    </row>
    <row r="25" spans="1:21" x14ac:dyDescent="0.25">
      <c r="A25" s="9">
        <v>23</v>
      </c>
      <c r="B25" s="9">
        <v>3.6</v>
      </c>
      <c r="C25" s="64">
        <f t="shared" si="0"/>
        <v>46</v>
      </c>
      <c r="D25" s="64">
        <f t="shared" si="1"/>
        <v>3.6</v>
      </c>
      <c r="E25" s="9">
        <v>0.80200000000000005</v>
      </c>
      <c r="Q25" s="9">
        <v>0</v>
      </c>
      <c r="R25" s="71">
        <f t="shared" ref="R25:R32" si="2">(-$S$21)*(Q25^2)-($T$21*Q25)+$U$21</f>
        <v>11.911</v>
      </c>
    </row>
    <row r="26" spans="1:21" x14ac:dyDescent="0.25">
      <c r="A26" s="9">
        <v>26.5</v>
      </c>
      <c r="B26" s="9">
        <v>1.9</v>
      </c>
      <c r="C26" s="64">
        <f t="shared" si="0"/>
        <v>53</v>
      </c>
      <c r="D26" s="64">
        <f t="shared" si="1"/>
        <v>1.9</v>
      </c>
      <c r="E26" s="9">
        <v>0.79600000000000004</v>
      </c>
      <c r="Q26" s="9">
        <v>5</v>
      </c>
      <c r="R26" s="71">
        <f t="shared" si="2"/>
        <v>10.462</v>
      </c>
    </row>
    <row r="27" spans="1:21" x14ac:dyDescent="0.25">
      <c r="A27" s="9"/>
      <c r="C27" s="64"/>
      <c r="Q27" s="9">
        <v>10</v>
      </c>
      <c r="R27" s="71">
        <f t="shared" si="2"/>
        <v>8.8079999999999998</v>
      </c>
    </row>
    <row r="28" spans="1:21" x14ac:dyDescent="0.25">
      <c r="A28" s="72"/>
      <c r="Q28" s="9">
        <v>12.7</v>
      </c>
      <c r="R28" s="71">
        <f t="shared" si="2"/>
        <v>7.8296010000000003</v>
      </c>
    </row>
    <row r="29" spans="1:21" x14ac:dyDescent="0.25">
      <c r="Q29" s="9">
        <v>19.8</v>
      </c>
      <c r="R29" s="71">
        <f t="shared" si="2"/>
        <v>4.9714959999999992</v>
      </c>
    </row>
    <row r="30" spans="1:21" x14ac:dyDescent="0.25">
      <c r="Q30" s="9">
        <v>23</v>
      </c>
      <c r="R30" s="71">
        <f t="shared" si="2"/>
        <v>3.5481999999999996</v>
      </c>
    </row>
    <row r="31" spans="1:21" x14ac:dyDescent="0.25">
      <c r="Q31" s="9">
        <v>26.5</v>
      </c>
      <c r="R31" s="71">
        <f t="shared" si="2"/>
        <v>1.8953249999999997</v>
      </c>
    </row>
    <row r="32" spans="1:21" x14ac:dyDescent="0.25">
      <c r="P32" t="s">
        <v>114</v>
      </c>
      <c r="Q32" s="73">
        <v>6</v>
      </c>
      <c r="R32" s="71">
        <f t="shared" si="2"/>
        <v>10.147600000000001</v>
      </c>
    </row>
    <row r="39" spans="1:21" x14ac:dyDescent="0.25">
      <c r="A39" s="9" t="s">
        <v>122</v>
      </c>
      <c r="C39" t="s">
        <v>123</v>
      </c>
      <c r="Q39" s="9"/>
    </row>
    <row r="40" spans="1:21" x14ac:dyDescent="0.25">
      <c r="A40" s="9" t="s">
        <v>114</v>
      </c>
      <c r="B40" s="9" t="s">
        <v>115</v>
      </c>
      <c r="C40" s="9" t="s">
        <v>139</v>
      </c>
      <c r="D40" s="9" t="s">
        <v>140</v>
      </c>
      <c r="E40" s="9" t="s">
        <v>116</v>
      </c>
      <c r="Q40" t="s">
        <v>117</v>
      </c>
      <c r="R40" t="s">
        <v>118</v>
      </c>
      <c r="S40" t="s">
        <v>119</v>
      </c>
      <c r="T40" t="s">
        <v>120</v>
      </c>
      <c r="U40" t="s">
        <v>121</v>
      </c>
    </row>
    <row r="41" spans="1:21" x14ac:dyDescent="0.25">
      <c r="A41" s="9">
        <v>0</v>
      </c>
      <c r="B41" s="9">
        <v>16</v>
      </c>
      <c r="C41" s="64">
        <f>2*A41</f>
        <v>0</v>
      </c>
      <c r="D41" s="64">
        <f>B41</f>
        <v>16</v>
      </c>
      <c r="E41" s="9">
        <v>0.9</v>
      </c>
      <c r="Q41" s="9"/>
      <c r="S41">
        <v>3.0999999999999999E-3</v>
      </c>
      <c r="T41">
        <v>0.27560000000000001</v>
      </c>
      <c r="U41">
        <v>15.984999999999999</v>
      </c>
    </row>
    <row r="42" spans="1:21" x14ac:dyDescent="0.25">
      <c r="A42" s="9">
        <v>5</v>
      </c>
      <c r="B42" s="9">
        <v>14.5</v>
      </c>
      <c r="C42" s="64">
        <f t="shared" ref="C42:C47" si="3">2*A42</f>
        <v>10</v>
      </c>
      <c r="D42" s="64">
        <f t="shared" ref="D42:D47" si="4">B42</f>
        <v>14.5</v>
      </c>
      <c r="E42" s="9">
        <v>1.0740000000000001</v>
      </c>
      <c r="Q42" s="9"/>
    </row>
    <row r="43" spans="1:21" x14ac:dyDescent="0.25">
      <c r="A43" s="9">
        <v>10</v>
      </c>
      <c r="B43" s="9">
        <v>12.9</v>
      </c>
      <c r="C43" s="64">
        <f t="shared" si="3"/>
        <v>20</v>
      </c>
      <c r="D43" s="64">
        <f t="shared" si="4"/>
        <v>12.9</v>
      </c>
      <c r="E43" s="9">
        <v>1.2150000000000001</v>
      </c>
      <c r="Q43" s="9" t="s">
        <v>114</v>
      </c>
      <c r="R43" s="9" t="s">
        <v>115</v>
      </c>
    </row>
    <row r="44" spans="1:21" x14ac:dyDescent="0.25">
      <c r="A44" s="9">
        <v>12.7</v>
      </c>
      <c r="B44" s="9">
        <v>12</v>
      </c>
      <c r="C44" s="64">
        <f t="shared" si="3"/>
        <v>25.4</v>
      </c>
      <c r="D44" s="64">
        <f t="shared" si="4"/>
        <v>12</v>
      </c>
      <c r="E44" s="9">
        <v>1.278</v>
      </c>
      <c r="Q44" s="9">
        <v>0</v>
      </c>
      <c r="R44" s="71">
        <f>(-$S$41)*(Q44^2)-($T$41*Q44)+$U$41</f>
        <v>15.984999999999999</v>
      </c>
    </row>
    <row r="45" spans="1:21" x14ac:dyDescent="0.25">
      <c r="A45" s="9">
        <v>19.8</v>
      </c>
      <c r="B45" s="9">
        <v>9.3000000000000007</v>
      </c>
      <c r="C45" s="64">
        <f t="shared" si="3"/>
        <v>39.6</v>
      </c>
      <c r="D45" s="64">
        <f t="shared" si="4"/>
        <v>9.3000000000000007</v>
      </c>
      <c r="E45" s="9">
        <v>1.3979999999999999</v>
      </c>
      <c r="Q45" s="9">
        <v>5</v>
      </c>
      <c r="R45" s="71">
        <f t="shared" ref="R45:R50" si="5">(-$S$41)*(Q45^2)-($T$41*Q45)+$U$41</f>
        <v>14.529499999999999</v>
      </c>
    </row>
    <row r="46" spans="1:21" x14ac:dyDescent="0.25">
      <c r="A46" s="9">
        <v>28</v>
      </c>
      <c r="B46" s="9">
        <v>5.8</v>
      </c>
      <c r="C46" s="64">
        <f t="shared" si="3"/>
        <v>56</v>
      </c>
      <c r="D46" s="64">
        <f t="shared" si="4"/>
        <v>5.8</v>
      </c>
      <c r="E46" s="9">
        <v>1.454</v>
      </c>
      <c r="Q46" s="9">
        <v>10</v>
      </c>
      <c r="R46" s="71">
        <f t="shared" si="5"/>
        <v>12.918999999999999</v>
      </c>
    </row>
    <row r="47" spans="1:21" x14ac:dyDescent="0.25">
      <c r="A47" s="9">
        <v>36</v>
      </c>
      <c r="B47" s="9">
        <v>2</v>
      </c>
      <c r="C47" s="64">
        <f t="shared" si="3"/>
        <v>72</v>
      </c>
      <c r="D47" s="64">
        <f t="shared" si="4"/>
        <v>2</v>
      </c>
      <c r="E47" s="9">
        <v>1.4259999999999999</v>
      </c>
      <c r="Q47" s="9">
        <v>12.7</v>
      </c>
      <c r="R47" s="71">
        <f t="shared" si="5"/>
        <v>11.984881</v>
      </c>
    </row>
    <row r="48" spans="1:21" x14ac:dyDescent="0.25">
      <c r="Q48" s="9">
        <v>19.8</v>
      </c>
      <c r="R48" s="71">
        <f t="shared" si="5"/>
        <v>9.3127959999999987</v>
      </c>
    </row>
    <row r="49" spans="1:21" x14ac:dyDescent="0.25">
      <c r="C49" s="9"/>
      <c r="D49" s="9"/>
      <c r="Q49" s="9">
        <v>28</v>
      </c>
      <c r="R49" s="71">
        <f t="shared" si="5"/>
        <v>5.8377999999999997</v>
      </c>
    </row>
    <row r="50" spans="1:21" x14ac:dyDescent="0.25">
      <c r="C50" s="9"/>
      <c r="D50" s="9"/>
      <c r="Q50" s="9">
        <v>36</v>
      </c>
      <c r="R50" s="71">
        <f t="shared" si="5"/>
        <v>2.0457999999999998</v>
      </c>
    </row>
    <row r="51" spans="1:21" x14ac:dyDescent="0.25">
      <c r="C51" s="74"/>
      <c r="D51" s="9"/>
      <c r="P51" t="s">
        <v>114</v>
      </c>
      <c r="Q51" s="75">
        <v>6</v>
      </c>
      <c r="R51" s="71">
        <f>(-$S$41)*(Q51^2)-($T$41*Q51)+$U$41</f>
        <v>14.219799999999999</v>
      </c>
    </row>
    <row r="52" spans="1:21" x14ac:dyDescent="0.25">
      <c r="C52" s="74"/>
      <c r="D52" s="9"/>
      <c r="Q52" s="9"/>
    </row>
    <row r="53" spans="1:21" x14ac:dyDescent="0.25">
      <c r="C53" s="74"/>
      <c r="D53" s="9"/>
      <c r="Q53" s="9"/>
    </row>
    <row r="54" spans="1:21" x14ac:dyDescent="0.25">
      <c r="C54" s="74"/>
      <c r="D54" s="9"/>
      <c r="Q54" s="9"/>
    </row>
    <row r="55" spans="1:21" x14ac:dyDescent="0.25">
      <c r="C55" s="74"/>
      <c r="D55" s="9"/>
      <c r="Q55" s="9"/>
    </row>
    <row r="56" spans="1:21" x14ac:dyDescent="0.25">
      <c r="Q56" s="9"/>
    </row>
    <row r="57" spans="1:21" x14ac:dyDescent="0.25">
      <c r="A57" s="76"/>
      <c r="Q57" s="9"/>
    </row>
    <row r="58" spans="1:21" x14ac:dyDescent="0.25">
      <c r="Q58" s="9"/>
    </row>
    <row r="59" spans="1:21" x14ac:dyDescent="0.25">
      <c r="A59" s="9" t="s">
        <v>124</v>
      </c>
      <c r="B59" s="9"/>
      <c r="C59" s="9"/>
      <c r="D59" s="9"/>
      <c r="E59" s="9"/>
      <c r="Q59" t="s">
        <v>117</v>
      </c>
      <c r="R59" t="s">
        <v>118</v>
      </c>
      <c r="S59" t="s">
        <v>119</v>
      </c>
      <c r="T59" t="s">
        <v>120</v>
      </c>
      <c r="U59" t="s">
        <v>121</v>
      </c>
    </row>
    <row r="60" spans="1:21" x14ac:dyDescent="0.25">
      <c r="A60" s="9" t="s">
        <v>114</v>
      </c>
      <c r="B60" s="9" t="s">
        <v>115</v>
      </c>
      <c r="C60" s="9" t="s">
        <v>139</v>
      </c>
      <c r="D60" s="9" t="s">
        <v>140</v>
      </c>
      <c r="E60" s="9" t="s">
        <v>116</v>
      </c>
      <c r="Q60" s="9"/>
      <c r="S60">
        <v>2.3599999999999999E-2</v>
      </c>
      <c r="T60">
        <v>0.75970000000000004</v>
      </c>
      <c r="U60">
        <v>17.870999999999999</v>
      </c>
    </row>
    <row r="61" spans="1:21" x14ac:dyDescent="0.25">
      <c r="A61" s="9">
        <v>0</v>
      </c>
      <c r="B61" s="9">
        <v>17.899999999999999</v>
      </c>
      <c r="C61" s="64">
        <f>2*A61</f>
        <v>0</v>
      </c>
      <c r="D61" s="64">
        <f>B61</f>
        <v>17.899999999999999</v>
      </c>
      <c r="E61" s="9">
        <v>0.8</v>
      </c>
    </row>
    <row r="62" spans="1:21" x14ac:dyDescent="0.25">
      <c r="A62" s="9">
        <v>2.2000000000000002</v>
      </c>
      <c r="B62" s="9">
        <v>16.100000000000001</v>
      </c>
      <c r="C62" s="64">
        <f t="shared" ref="C62:C71" si="6">2*A62</f>
        <v>4.4000000000000004</v>
      </c>
      <c r="D62" s="64">
        <f t="shared" ref="D62:D71" si="7">B62</f>
        <v>16.100000000000001</v>
      </c>
      <c r="E62" s="9">
        <v>0.9</v>
      </c>
      <c r="Q62" s="9" t="s">
        <v>114</v>
      </c>
      <c r="R62" s="9" t="s">
        <v>115</v>
      </c>
    </row>
    <row r="63" spans="1:21" x14ac:dyDescent="0.25">
      <c r="A63" s="9">
        <v>2.444</v>
      </c>
      <c r="B63" s="9">
        <v>15.823</v>
      </c>
      <c r="C63" s="64">
        <f t="shared" si="6"/>
        <v>4.8879999999999999</v>
      </c>
      <c r="D63" s="64">
        <f t="shared" si="7"/>
        <v>15.823</v>
      </c>
      <c r="E63" s="9">
        <v>0.86899999999999999</v>
      </c>
      <c r="Q63" s="9">
        <v>0</v>
      </c>
      <c r="R63" s="71">
        <f>(-$S$60)*(Q63^2)-($T$60*Q63)+$U$60</f>
        <v>17.870999999999999</v>
      </c>
    </row>
    <row r="64" spans="1:21" x14ac:dyDescent="0.25">
      <c r="A64" s="9">
        <v>3.9</v>
      </c>
      <c r="B64" s="9">
        <v>14.5</v>
      </c>
      <c r="C64" s="64">
        <f t="shared" si="6"/>
        <v>7.8</v>
      </c>
      <c r="D64" s="64">
        <f t="shared" si="7"/>
        <v>14.5</v>
      </c>
      <c r="E64" s="9">
        <v>0.9</v>
      </c>
      <c r="Q64" s="9">
        <v>2.2000000000000002</v>
      </c>
      <c r="R64" s="71">
        <f t="shared" ref="R64:R74" si="8">(-$S$60)*(Q64^2)-($T$60*Q64)+$U$60</f>
        <v>16.085435999999998</v>
      </c>
    </row>
    <row r="65" spans="1:18" x14ac:dyDescent="0.25">
      <c r="A65" s="9">
        <v>5.0999999999999996</v>
      </c>
      <c r="B65" s="9">
        <v>13.4</v>
      </c>
      <c r="C65" s="64">
        <f t="shared" si="6"/>
        <v>10.199999999999999</v>
      </c>
      <c r="D65" s="64">
        <f t="shared" si="7"/>
        <v>13.4</v>
      </c>
      <c r="E65" s="9">
        <v>0.9</v>
      </c>
      <c r="Q65" s="9">
        <v>2.444</v>
      </c>
      <c r="R65" s="71">
        <f t="shared" si="8"/>
        <v>15.873327190399998</v>
      </c>
    </row>
    <row r="66" spans="1:18" x14ac:dyDescent="0.25">
      <c r="A66" s="9">
        <v>6.6</v>
      </c>
      <c r="B66" s="9">
        <v>11.9</v>
      </c>
      <c r="C66" s="64">
        <f t="shared" si="6"/>
        <v>13.2</v>
      </c>
      <c r="D66" s="64">
        <f t="shared" si="7"/>
        <v>11.9</v>
      </c>
      <c r="E66" s="9">
        <v>1</v>
      </c>
      <c r="Q66" s="9">
        <v>3.9</v>
      </c>
      <c r="R66" s="71">
        <f t="shared" si="8"/>
        <v>14.549213999999999</v>
      </c>
    </row>
    <row r="67" spans="1:18" x14ac:dyDescent="0.25">
      <c r="A67" s="9">
        <v>8.9</v>
      </c>
      <c r="B67" s="9">
        <v>9.1999999999999993</v>
      </c>
      <c r="C67" s="64">
        <f t="shared" si="6"/>
        <v>17.8</v>
      </c>
      <c r="D67" s="64">
        <f t="shared" si="7"/>
        <v>9.1999999999999993</v>
      </c>
      <c r="E67" s="9">
        <v>1</v>
      </c>
      <c r="Q67" s="9">
        <v>5.0999999999999996</v>
      </c>
      <c r="R67" s="71">
        <f t="shared" si="8"/>
        <v>13.382693999999999</v>
      </c>
    </row>
    <row r="68" spans="1:18" x14ac:dyDescent="0.25">
      <c r="A68" s="9">
        <v>10.1</v>
      </c>
      <c r="B68" s="9">
        <v>7.8</v>
      </c>
      <c r="C68" s="64">
        <f t="shared" si="6"/>
        <v>20.2</v>
      </c>
      <c r="D68" s="64">
        <f t="shared" si="7"/>
        <v>7.8</v>
      </c>
      <c r="E68" s="9">
        <v>1</v>
      </c>
      <c r="Q68" s="9">
        <v>6.6</v>
      </c>
      <c r="R68" s="71">
        <f t="shared" si="8"/>
        <v>11.828963999999999</v>
      </c>
    </row>
    <row r="69" spans="1:18" x14ac:dyDescent="0.25">
      <c r="A69" s="9">
        <v>12.1</v>
      </c>
      <c r="B69" s="9">
        <v>5.2</v>
      </c>
      <c r="C69" s="64">
        <f t="shared" si="6"/>
        <v>24.2</v>
      </c>
      <c r="D69" s="64">
        <f t="shared" si="7"/>
        <v>5.2</v>
      </c>
      <c r="E69" s="9">
        <v>1.1000000000000001</v>
      </c>
      <c r="Q69" s="9">
        <v>8.9</v>
      </c>
      <c r="R69" s="71">
        <f t="shared" si="8"/>
        <v>9.2403139999999979</v>
      </c>
    </row>
    <row r="70" spans="1:18" x14ac:dyDescent="0.25">
      <c r="A70" s="9">
        <v>13.3</v>
      </c>
      <c r="B70" s="9">
        <v>3.7</v>
      </c>
      <c r="C70" s="64">
        <f t="shared" si="6"/>
        <v>26.6</v>
      </c>
      <c r="D70" s="64">
        <f t="shared" si="7"/>
        <v>3.7</v>
      </c>
      <c r="E70" s="9">
        <v>1.1000000000000001</v>
      </c>
      <c r="Q70" s="9">
        <v>10.1</v>
      </c>
      <c r="R70" s="71">
        <f t="shared" si="8"/>
        <v>7.7905939999999987</v>
      </c>
    </row>
    <row r="71" spans="1:18" x14ac:dyDescent="0.25">
      <c r="A71" s="9">
        <v>14.1</v>
      </c>
      <c r="B71" s="9">
        <v>2.4</v>
      </c>
      <c r="C71" s="64">
        <f t="shared" si="6"/>
        <v>28.2</v>
      </c>
      <c r="D71" s="64">
        <f t="shared" si="7"/>
        <v>2.4</v>
      </c>
      <c r="E71" s="9">
        <v>1.1000000000000001</v>
      </c>
      <c r="Q71" s="9">
        <v>12.1</v>
      </c>
      <c r="R71" s="71">
        <f t="shared" si="8"/>
        <v>5.2233539999999987</v>
      </c>
    </row>
    <row r="72" spans="1:18" x14ac:dyDescent="0.25">
      <c r="Q72" s="9">
        <v>13.3</v>
      </c>
      <c r="R72" s="71">
        <f t="shared" si="8"/>
        <v>3.5923859999999976</v>
      </c>
    </row>
    <row r="73" spans="1:18" x14ac:dyDescent="0.25">
      <c r="Q73" s="9">
        <v>14.1</v>
      </c>
      <c r="R73" s="71">
        <f t="shared" si="8"/>
        <v>2.4673139999999982</v>
      </c>
    </row>
    <row r="74" spans="1:18" x14ac:dyDescent="0.25">
      <c r="P74" t="s">
        <v>114</v>
      </c>
      <c r="Q74" s="75">
        <v>6</v>
      </c>
      <c r="R74" s="71">
        <f t="shared" si="8"/>
        <v>12.463199999999999</v>
      </c>
    </row>
    <row r="81" spans="1:21" x14ac:dyDescent="0.25">
      <c r="A81" s="9" t="s">
        <v>125</v>
      </c>
      <c r="Q81" t="s">
        <v>117</v>
      </c>
      <c r="R81" t="s">
        <v>118</v>
      </c>
      <c r="S81" t="s">
        <v>119</v>
      </c>
      <c r="T81" t="s">
        <v>120</v>
      </c>
      <c r="U81" t="s">
        <v>121</v>
      </c>
    </row>
    <row r="82" spans="1:21" x14ac:dyDescent="0.25">
      <c r="A82" s="9" t="s">
        <v>114</v>
      </c>
      <c r="B82" s="9" t="s">
        <v>115</v>
      </c>
      <c r="C82" s="9" t="s">
        <v>139</v>
      </c>
      <c r="D82" s="9" t="s">
        <v>140</v>
      </c>
      <c r="E82" s="9" t="s">
        <v>116</v>
      </c>
      <c r="S82">
        <v>7.17E-2</v>
      </c>
      <c r="T82">
        <v>0.41389999999999999</v>
      </c>
      <c r="U82">
        <v>25.081</v>
      </c>
    </row>
    <row r="83" spans="1:21" x14ac:dyDescent="0.25">
      <c r="A83" s="9">
        <v>0</v>
      </c>
      <c r="B83" s="9">
        <v>25.1</v>
      </c>
      <c r="C83" s="64">
        <f>2*A83</f>
        <v>0</v>
      </c>
      <c r="D83" s="64">
        <f>B83</f>
        <v>25.1</v>
      </c>
      <c r="E83" s="9">
        <v>1.2</v>
      </c>
    </row>
    <row r="84" spans="1:21" x14ac:dyDescent="0.25">
      <c r="A84" s="9">
        <v>1.4</v>
      </c>
      <c r="B84" s="9">
        <v>24.4</v>
      </c>
      <c r="C84" s="64">
        <f t="shared" ref="C84:C95" si="9">2*A84</f>
        <v>2.8</v>
      </c>
      <c r="D84" s="64">
        <f t="shared" ref="D84:D95" si="10">B84</f>
        <v>24.4</v>
      </c>
      <c r="E84" s="9">
        <v>1.3</v>
      </c>
      <c r="Q84" s="9" t="s">
        <v>114</v>
      </c>
      <c r="R84" s="9" t="s">
        <v>115</v>
      </c>
    </row>
    <row r="85" spans="1:21" x14ac:dyDescent="0.25">
      <c r="A85" s="9">
        <v>2.1</v>
      </c>
      <c r="B85" s="9">
        <v>23.9</v>
      </c>
      <c r="C85" s="64">
        <f t="shared" si="9"/>
        <v>4.2</v>
      </c>
      <c r="D85" s="64">
        <f t="shared" si="10"/>
        <v>23.9</v>
      </c>
      <c r="E85" s="9">
        <v>1.3</v>
      </c>
      <c r="Q85" s="9">
        <v>0</v>
      </c>
      <c r="R85" s="71">
        <f>(-$S$82)*(Q85^2)-($T$82*Q85)+$U$82</f>
        <v>25.081</v>
      </c>
    </row>
    <row r="86" spans="1:21" x14ac:dyDescent="0.25">
      <c r="A86" s="9">
        <v>3.6</v>
      </c>
      <c r="B86" s="9">
        <v>22.6</v>
      </c>
      <c r="C86" s="64">
        <f t="shared" si="9"/>
        <v>7.2</v>
      </c>
      <c r="D86" s="64">
        <f t="shared" si="10"/>
        <v>22.6</v>
      </c>
      <c r="E86" s="9">
        <v>1.3</v>
      </c>
      <c r="Q86" s="9">
        <v>1.4</v>
      </c>
      <c r="R86" s="71">
        <f t="shared" ref="R86:R97" si="11">(-$S$82)*(Q86^2)-($T$82*Q86)+$U$82</f>
        <v>24.361007999999998</v>
      </c>
    </row>
    <row r="87" spans="1:21" x14ac:dyDescent="0.25">
      <c r="A87" s="9">
        <v>5.4</v>
      </c>
      <c r="B87" s="9">
        <v>20.7</v>
      </c>
      <c r="C87" s="64">
        <f t="shared" si="9"/>
        <v>10.8</v>
      </c>
      <c r="D87" s="64">
        <f t="shared" si="10"/>
        <v>20.7</v>
      </c>
      <c r="E87" s="9">
        <v>1.3</v>
      </c>
      <c r="Q87" s="9">
        <v>2.1</v>
      </c>
      <c r="R87" s="71">
        <f t="shared" si="11"/>
        <v>23.895613000000001</v>
      </c>
    </row>
    <row r="88" spans="1:21" x14ac:dyDescent="0.25">
      <c r="A88" s="9">
        <v>6.6</v>
      </c>
      <c r="B88" s="9">
        <v>19.2</v>
      </c>
      <c r="C88" s="64">
        <f t="shared" si="9"/>
        <v>13.2</v>
      </c>
      <c r="D88" s="64">
        <f t="shared" si="10"/>
        <v>19.2</v>
      </c>
      <c r="E88" s="9">
        <v>1.4</v>
      </c>
      <c r="Q88" s="9">
        <v>3.6</v>
      </c>
      <c r="R88" s="71">
        <f t="shared" si="11"/>
        <v>22.661728</v>
      </c>
    </row>
    <row r="89" spans="1:21" x14ac:dyDescent="0.25">
      <c r="A89" s="9">
        <v>8.1999999999999993</v>
      </c>
      <c r="B89" s="9">
        <v>16.899999999999999</v>
      </c>
      <c r="C89" s="64">
        <f t="shared" si="9"/>
        <v>16.399999999999999</v>
      </c>
      <c r="D89" s="64">
        <f t="shared" si="10"/>
        <v>16.899999999999999</v>
      </c>
      <c r="E89" s="9">
        <v>1.4</v>
      </c>
      <c r="Q89" s="9">
        <v>5.4</v>
      </c>
      <c r="R89" s="71">
        <f t="shared" si="11"/>
        <v>20.755167999999998</v>
      </c>
    </row>
    <row r="90" spans="1:21" x14ac:dyDescent="0.25">
      <c r="A90" s="9">
        <v>9.5</v>
      </c>
      <c r="B90" s="9">
        <v>14.7</v>
      </c>
      <c r="C90" s="64">
        <f t="shared" si="9"/>
        <v>19</v>
      </c>
      <c r="D90" s="64">
        <f t="shared" si="10"/>
        <v>14.7</v>
      </c>
      <c r="E90" s="9">
        <v>1.4</v>
      </c>
      <c r="Q90" s="9">
        <v>6.6</v>
      </c>
      <c r="R90" s="71">
        <f t="shared" si="11"/>
        <v>19.226008</v>
      </c>
    </row>
    <row r="91" spans="1:21" x14ac:dyDescent="0.25">
      <c r="A91" s="9">
        <v>10.6</v>
      </c>
      <c r="B91" s="9">
        <v>12.7</v>
      </c>
      <c r="C91" s="64">
        <f t="shared" si="9"/>
        <v>21.2</v>
      </c>
      <c r="D91" s="64">
        <f t="shared" si="10"/>
        <v>12.7</v>
      </c>
      <c r="E91" s="9">
        <v>1.5</v>
      </c>
      <c r="Q91" s="9">
        <v>8.1999999999999993</v>
      </c>
      <c r="R91" s="71">
        <f t="shared" si="11"/>
        <v>16.865912000000002</v>
      </c>
    </row>
    <row r="92" spans="1:21" x14ac:dyDescent="0.25">
      <c r="A92" s="9">
        <v>11.8</v>
      </c>
      <c r="B92" s="9">
        <v>10.199999999999999</v>
      </c>
      <c r="C92" s="64">
        <f t="shared" si="9"/>
        <v>23.6</v>
      </c>
      <c r="D92" s="64">
        <f t="shared" si="10"/>
        <v>10.199999999999999</v>
      </c>
      <c r="E92" s="9">
        <v>1.5</v>
      </c>
      <c r="Q92" s="9">
        <v>9.5</v>
      </c>
      <c r="R92" s="71">
        <f t="shared" si="11"/>
        <v>14.678025</v>
      </c>
    </row>
    <row r="93" spans="1:21" x14ac:dyDescent="0.25">
      <c r="A93" s="9">
        <v>12.5</v>
      </c>
      <c r="B93" s="9">
        <v>8.8000000000000007</v>
      </c>
      <c r="C93" s="64">
        <f t="shared" si="9"/>
        <v>25</v>
      </c>
      <c r="D93" s="64">
        <f t="shared" si="10"/>
        <v>8.8000000000000007</v>
      </c>
      <c r="E93" s="9">
        <v>1.5</v>
      </c>
      <c r="Q93" s="9">
        <v>10.6</v>
      </c>
      <c r="R93" s="71">
        <f t="shared" si="11"/>
        <v>12.637447999999999</v>
      </c>
    </row>
    <row r="94" spans="1:21" x14ac:dyDescent="0.25">
      <c r="A94" s="9">
        <v>13.9</v>
      </c>
      <c r="B94" s="9">
        <v>5.4</v>
      </c>
      <c r="C94" s="64">
        <f t="shared" si="9"/>
        <v>27.8</v>
      </c>
      <c r="D94" s="64">
        <f t="shared" si="10"/>
        <v>5.4</v>
      </c>
      <c r="E94" s="9">
        <v>1.6</v>
      </c>
      <c r="Q94" s="9">
        <v>11.8</v>
      </c>
      <c r="R94" s="71">
        <f t="shared" si="11"/>
        <v>10.213471999999999</v>
      </c>
    </row>
    <row r="95" spans="1:21" x14ac:dyDescent="0.25">
      <c r="A95" s="9">
        <v>14.7</v>
      </c>
      <c r="B95" s="9">
        <v>3.5</v>
      </c>
      <c r="C95" s="64">
        <f t="shared" si="9"/>
        <v>29.4</v>
      </c>
      <c r="D95" s="64">
        <f t="shared" si="10"/>
        <v>3.5</v>
      </c>
      <c r="E95" s="9">
        <v>1.5</v>
      </c>
      <c r="Q95" s="9">
        <v>12.5</v>
      </c>
      <c r="R95" s="71">
        <f t="shared" si="11"/>
        <v>8.7041250000000012</v>
      </c>
    </row>
    <row r="96" spans="1:21" x14ac:dyDescent="0.25">
      <c r="Q96" s="9">
        <v>13.9</v>
      </c>
      <c r="R96" s="71">
        <f t="shared" si="11"/>
        <v>5.4746329999999972</v>
      </c>
    </row>
    <row r="97" spans="1:21" x14ac:dyDescent="0.25">
      <c r="Q97" s="9">
        <v>14.7</v>
      </c>
      <c r="R97" s="71">
        <f t="shared" si="11"/>
        <v>3.5030170000000034</v>
      </c>
    </row>
    <row r="98" spans="1:21" x14ac:dyDescent="0.25">
      <c r="P98" t="s">
        <v>114</v>
      </c>
      <c r="Q98" s="75">
        <v>6</v>
      </c>
      <c r="R98" s="71">
        <f>(-$S$82)*(Q98^2)-($T$82*Q98)+$U$82</f>
        <v>20.016399999999997</v>
      </c>
    </row>
    <row r="104" spans="1:21" x14ac:dyDescent="0.25">
      <c r="A104" s="9" t="s">
        <v>126</v>
      </c>
      <c r="B104" s="9"/>
      <c r="C104" s="9" t="s">
        <v>127</v>
      </c>
      <c r="Q104" t="s">
        <v>117</v>
      </c>
      <c r="R104" t="s">
        <v>118</v>
      </c>
      <c r="S104" t="s">
        <v>119</v>
      </c>
      <c r="T104" t="s">
        <v>120</v>
      </c>
      <c r="U104" t="s">
        <v>121</v>
      </c>
    </row>
    <row r="105" spans="1:21" x14ac:dyDescent="0.25">
      <c r="A105" s="9" t="s">
        <v>114</v>
      </c>
      <c r="B105" s="9" t="s">
        <v>115</v>
      </c>
      <c r="C105" s="9" t="s">
        <v>139</v>
      </c>
      <c r="D105" s="9" t="s">
        <v>140</v>
      </c>
      <c r="E105" s="9" t="s">
        <v>116</v>
      </c>
      <c r="S105">
        <v>4.0000000000000002E-4</v>
      </c>
      <c r="T105">
        <v>0.15820000000000001</v>
      </c>
      <c r="U105">
        <v>13.483000000000001</v>
      </c>
    </row>
    <row r="106" spans="1:21" x14ac:dyDescent="0.25">
      <c r="A106" s="9">
        <v>0</v>
      </c>
      <c r="B106" s="9">
        <v>13.5</v>
      </c>
      <c r="C106" s="64">
        <f>2*A106</f>
        <v>0</v>
      </c>
      <c r="D106" s="64">
        <f>B106</f>
        <v>13.5</v>
      </c>
      <c r="E106" s="9">
        <v>1.31</v>
      </c>
    </row>
    <row r="107" spans="1:21" x14ac:dyDescent="0.25">
      <c r="A107" s="9">
        <v>8.4</v>
      </c>
      <c r="B107" s="9">
        <v>12.1</v>
      </c>
      <c r="C107" s="64">
        <f t="shared" ref="C107:C112" si="12">2*A107</f>
        <v>16.8</v>
      </c>
      <c r="D107" s="64">
        <f t="shared" ref="D107:D112" si="13">B107</f>
        <v>12.1</v>
      </c>
      <c r="E107" s="9">
        <v>1.56</v>
      </c>
      <c r="Q107" s="9" t="s">
        <v>114</v>
      </c>
      <c r="R107" s="9" t="s">
        <v>115</v>
      </c>
    </row>
    <row r="108" spans="1:21" x14ac:dyDescent="0.25">
      <c r="A108" s="9">
        <v>12.7</v>
      </c>
      <c r="B108" s="9">
        <v>11.4</v>
      </c>
      <c r="C108" s="64">
        <f t="shared" si="12"/>
        <v>25.4</v>
      </c>
      <c r="D108" s="64">
        <f t="shared" si="13"/>
        <v>11.4</v>
      </c>
      <c r="E108" s="9">
        <v>1.67</v>
      </c>
      <c r="Q108" s="9">
        <v>0</v>
      </c>
      <c r="R108" s="71">
        <f>(-$S$105)*(Q108^2)-($T$105*Q108)+$U$105</f>
        <v>13.483000000000001</v>
      </c>
    </row>
    <row r="109" spans="1:21" x14ac:dyDescent="0.25">
      <c r="A109" s="9">
        <v>19.8</v>
      </c>
      <c r="B109" s="9">
        <v>10.199999999999999</v>
      </c>
      <c r="C109" s="64">
        <f t="shared" si="12"/>
        <v>39.6</v>
      </c>
      <c r="D109" s="64">
        <f t="shared" si="13"/>
        <v>10.199999999999999</v>
      </c>
      <c r="E109" s="9">
        <v>1.86</v>
      </c>
      <c r="Q109" s="9">
        <v>8.4</v>
      </c>
      <c r="R109" s="71">
        <f t="shared" ref="R109:R115" si="14">(-$S$105)*(Q109^2)-($T$105*Q109)+$U$105</f>
        <v>12.125896000000001</v>
      </c>
    </row>
    <row r="110" spans="1:21" x14ac:dyDescent="0.25">
      <c r="A110" s="9">
        <v>27.5</v>
      </c>
      <c r="B110" s="9">
        <v>8.8000000000000007</v>
      </c>
      <c r="C110" s="64">
        <f t="shared" si="12"/>
        <v>55</v>
      </c>
      <c r="D110" s="64">
        <f t="shared" si="13"/>
        <v>8.8000000000000007</v>
      </c>
      <c r="E110" s="9">
        <v>2.0299999999999998</v>
      </c>
      <c r="Q110" s="9">
        <v>12.7</v>
      </c>
      <c r="R110" s="71">
        <f t="shared" si="14"/>
        <v>11.409344000000001</v>
      </c>
    </row>
    <row r="111" spans="1:21" x14ac:dyDescent="0.25">
      <c r="A111" s="9">
        <v>41.6</v>
      </c>
      <c r="B111" s="9">
        <v>6.2</v>
      </c>
      <c r="C111" s="64">
        <f t="shared" si="12"/>
        <v>83.2</v>
      </c>
      <c r="D111" s="64">
        <f t="shared" si="13"/>
        <v>6.2</v>
      </c>
      <c r="E111" s="9">
        <v>2.2999999999999998</v>
      </c>
      <c r="Q111" s="9">
        <v>19.8</v>
      </c>
      <c r="R111" s="71">
        <f t="shared" si="14"/>
        <v>10.193823999999999</v>
      </c>
    </row>
    <row r="112" spans="1:21" x14ac:dyDescent="0.25">
      <c r="A112" s="9">
        <v>55</v>
      </c>
      <c r="B112" s="9">
        <v>3.5</v>
      </c>
      <c r="C112" s="64">
        <f t="shared" si="12"/>
        <v>110</v>
      </c>
      <c r="D112" s="64">
        <f t="shared" si="13"/>
        <v>3.5</v>
      </c>
      <c r="E112" s="9">
        <v>2.5</v>
      </c>
      <c r="Q112" s="9">
        <v>27.5</v>
      </c>
      <c r="R112" s="71">
        <f t="shared" si="14"/>
        <v>8.83</v>
      </c>
    </row>
    <row r="113" spans="1:21" x14ac:dyDescent="0.25">
      <c r="Q113" s="9">
        <v>41.6</v>
      </c>
      <c r="R113" s="71">
        <f t="shared" si="14"/>
        <v>6.2096559999999998</v>
      </c>
    </row>
    <row r="114" spans="1:21" x14ac:dyDescent="0.25">
      <c r="Q114" s="9">
        <v>55</v>
      </c>
      <c r="R114" s="71">
        <f t="shared" si="14"/>
        <v>3.5719999999999992</v>
      </c>
    </row>
    <row r="115" spans="1:21" x14ac:dyDescent="0.25">
      <c r="P115" t="s">
        <v>114</v>
      </c>
      <c r="Q115" s="75">
        <v>6</v>
      </c>
      <c r="R115" s="71">
        <f t="shared" si="14"/>
        <v>12.519400000000001</v>
      </c>
    </row>
    <row r="127" spans="1:21" x14ac:dyDescent="0.25">
      <c r="A127" s="9" t="s">
        <v>128</v>
      </c>
      <c r="B127" s="9"/>
      <c r="C127" s="9" t="s">
        <v>129</v>
      </c>
    </row>
    <row r="128" spans="1:21" x14ac:dyDescent="0.25">
      <c r="A128" s="9" t="s">
        <v>114</v>
      </c>
      <c r="B128" s="9" t="s">
        <v>115</v>
      </c>
      <c r="C128" s="9" t="s">
        <v>139</v>
      </c>
      <c r="D128" s="9" t="s">
        <v>140</v>
      </c>
      <c r="E128" s="9" t="s">
        <v>116</v>
      </c>
      <c r="Q128" t="s">
        <v>117</v>
      </c>
      <c r="R128" t="s">
        <v>118</v>
      </c>
      <c r="S128" t="s">
        <v>119</v>
      </c>
      <c r="T128" t="s">
        <v>120</v>
      </c>
      <c r="U128" t="s">
        <v>121</v>
      </c>
    </row>
    <row r="129" spans="1:21" x14ac:dyDescent="0.25">
      <c r="A129" s="9">
        <v>0</v>
      </c>
      <c r="B129" s="9">
        <v>17.2</v>
      </c>
      <c r="C129" s="64">
        <f t="shared" ref="C129:C136" si="15">2*A129</f>
        <v>0</v>
      </c>
      <c r="D129" s="64">
        <f t="shared" ref="D129:D136" si="16">B129</f>
        <v>17.2</v>
      </c>
      <c r="E129" s="9">
        <v>1.64</v>
      </c>
      <c r="S129">
        <v>6.9999999999999999E-4</v>
      </c>
      <c r="T129">
        <v>0.17680000000000001</v>
      </c>
      <c r="U129">
        <v>17.175000000000001</v>
      </c>
    </row>
    <row r="130" spans="1:21" x14ac:dyDescent="0.25">
      <c r="A130" s="9">
        <v>8.4</v>
      </c>
      <c r="B130" s="9">
        <v>15.6</v>
      </c>
      <c r="C130" s="64">
        <f t="shared" si="15"/>
        <v>16.8</v>
      </c>
      <c r="D130" s="64">
        <f t="shared" si="16"/>
        <v>15.6</v>
      </c>
      <c r="E130" s="9">
        <v>1.95</v>
      </c>
    </row>
    <row r="131" spans="1:21" x14ac:dyDescent="0.25">
      <c r="A131" s="9">
        <v>12.7</v>
      </c>
      <c r="B131" s="9">
        <v>14.8</v>
      </c>
      <c r="C131" s="64">
        <f t="shared" si="15"/>
        <v>25.4</v>
      </c>
      <c r="D131" s="64">
        <f t="shared" si="16"/>
        <v>14.8</v>
      </c>
      <c r="E131" s="9">
        <v>2.09</v>
      </c>
      <c r="Q131" s="9" t="s">
        <v>114</v>
      </c>
      <c r="R131" s="9" t="s">
        <v>115</v>
      </c>
    </row>
    <row r="132" spans="1:21" x14ac:dyDescent="0.25">
      <c r="A132" s="9">
        <v>19.8</v>
      </c>
      <c r="B132" s="9">
        <v>13.4</v>
      </c>
      <c r="C132" s="64">
        <f t="shared" si="15"/>
        <v>39.6</v>
      </c>
      <c r="D132" s="64">
        <f t="shared" si="16"/>
        <v>13.4</v>
      </c>
      <c r="E132" s="9">
        <v>2.2999999999999998</v>
      </c>
      <c r="Q132" s="9">
        <v>0</v>
      </c>
      <c r="R132" s="71">
        <f>(-$S$129)*(Q132^2)-($T$129*Q132)+$U$129</f>
        <v>17.175000000000001</v>
      </c>
    </row>
    <row r="133" spans="1:21" x14ac:dyDescent="0.25">
      <c r="A133" s="9">
        <v>27.5</v>
      </c>
      <c r="B133" s="9">
        <v>11.8</v>
      </c>
      <c r="C133" s="64">
        <f t="shared" si="15"/>
        <v>55</v>
      </c>
      <c r="D133" s="64">
        <f t="shared" si="16"/>
        <v>11.8</v>
      </c>
      <c r="E133" s="9">
        <v>2.4900000000000002</v>
      </c>
      <c r="Q133" s="9">
        <v>8.4</v>
      </c>
      <c r="R133" s="71">
        <f t="shared" ref="R133:R139" si="17">(-$S$129)*(Q133^2)-($T$129*Q133)+$U$129</f>
        <v>15.640488000000001</v>
      </c>
    </row>
    <row r="134" spans="1:21" x14ac:dyDescent="0.25">
      <c r="A134" s="9">
        <v>41.6</v>
      </c>
      <c r="B134" s="9">
        <v>8.6</v>
      </c>
      <c r="C134" s="64">
        <f t="shared" si="15"/>
        <v>83.2</v>
      </c>
      <c r="D134" s="64">
        <f t="shared" si="16"/>
        <v>8.6</v>
      </c>
      <c r="E134" s="9">
        <v>2.74</v>
      </c>
      <c r="Q134" s="9">
        <v>12.7</v>
      </c>
      <c r="R134" s="71">
        <f t="shared" si="17"/>
        <v>14.816737</v>
      </c>
    </row>
    <row r="135" spans="1:21" x14ac:dyDescent="0.25">
      <c r="A135" s="9">
        <v>50</v>
      </c>
      <c r="B135" s="9">
        <v>6.5</v>
      </c>
      <c r="C135" s="64">
        <f t="shared" si="15"/>
        <v>100</v>
      </c>
      <c r="D135" s="64">
        <f t="shared" si="16"/>
        <v>6.5</v>
      </c>
      <c r="E135" s="9">
        <v>2.84</v>
      </c>
      <c r="Q135" s="9">
        <v>19.8</v>
      </c>
      <c r="R135" s="71">
        <f t="shared" si="17"/>
        <v>13.399932</v>
      </c>
    </row>
    <row r="136" spans="1:21" x14ac:dyDescent="0.25">
      <c r="A136" s="9">
        <v>60</v>
      </c>
      <c r="B136" s="9">
        <v>4</v>
      </c>
      <c r="C136" s="64">
        <f t="shared" si="15"/>
        <v>120</v>
      </c>
      <c r="D136" s="64">
        <f t="shared" si="16"/>
        <v>4</v>
      </c>
      <c r="E136" s="9">
        <v>2.89</v>
      </c>
      <c r="Q136" s="9">
        <v>27.5</v>
      </c>
      <c r="R136" s="71">
        <f t="shared" si="17"/>
        <v>11.783625000000001</v>
      </c>
    </row>
    <row r="137" spans="1:21" x14ac:dyDescent="0.25">
      <c r="Q137" s="9">
        <v>41.6</v>
      </c>
      <c r="R137" s="71">
        <f t="shared" si="17"/>
        <v>8.6087279999999993</v>
      </c>
    </row>
    <row r="138" spans="1:21" x14ac:dyDescent="0.25">
      <c r="Q138" s="9">
        <v>50</v>
      </c>
      <c r="R138" s="71">
        <f t="shared" si="17"/>
        <v>6.5850000000000009</v>
      </c>
    </row>
    <row r="139" spans="1:21" x14ac:dyDescent="0.25">
      <c r="Q139" s="9">
        <v>60</v>
      </c>
      <c r="R139" s="71">
        <f t="shared" si="17"/>
        <v>4.0470000000000006</v>
      </c>
    </row>
    <row r="140" spans="1:21" x14ac:dyDescent="0.25">
      <c r="P140" t="s">
        <v>114</v>
      </c>
      <c r="Q140" s="75">
        <v>6</v>
      </c>
      <c r="R140" s="71">
        <f>(-$S$129)*(Q140^2)-($T$129*Q140)+$U$129</f>
        <v>16.089000000000002</v>
      </c>
    </row>
    <row r="148" spans="1:21" x14ac:dyDescent="0.25">
      <c r="A148" s="9" t="s">
        <v>130</v>
      </c>
      <c r="B148" s="9"/>
      <c r="C148" s="9" t="s">
        <v>131</v>
      </c>
    </row>
    <row r="149" spans="1:21" x14ac:dyDescent="0.25">
      <c r="A149" s="9" t="s">
        <v>114</v>
      </c>
      <c r="B149" s="9" t="s">
        <v>115</v>
      </c>
      <c r="C149" s="9" t="s">
        <v>139</v>
      </c>
      <c r="D149" s="9" t="s">
        <v>140</v>
      </c>
      <c r="E149" s="9" t="s">
        <v>116</v>
      </c>
      <c r="Q149" t="s">
        <v>117</v>
      </c>
      <c r="R149" t="s">
        <v>118</v>
      </c>
      <c r="S149" t="s">
        <v>119</v>
      </c>
      <c r="T149" t="s">
        <v>120</v>
      </c>
      <c r="U149" t="s">
        <v>121</v>
      </c>
    </row>
    <row r="150" spans="1:21" x14ac:dyDescent="0.25">
      <c r="A150" s="9">
        <v>0</v>
      </c>
      <c r="B150" s="9">
        <v>23</v>
      </c>
      <c r="C150" s="64">
        <f>2*A150</f>
        <v>0</v>
      </c>
      <c r="D150" s="64">
        <f>B150</f>
        <v>23</v>
      </c>
      <c r="E150" s="9">
        <v>2.4</v>
      </c>
      <c r="S150">
        <v>1.6999999999999999E-3</v>
      </c>
      <c r="T150">
        <v>0.13669999999999999</v>
      </c>
      <c r="U150">
        <v>22.992999999999999</v>
      </c>
    </row>
    <row r="151" spans="1:21" x14ac:dyDescent="0.25">
      <c r="A151" s="9">
        <v>8.4</v>
      </c>
      <c r="B151" s="9">
        <v>21.7</v>
      </c>
      <c r="C151" s="64">
        <f t="shared" ref="C151:C158" si="18">2*A151</f>
        <v>16.8</v>
      </c>
      <c r="D151" s="64">
        <f t="shared" ref="D151:D158" si="19">B151</f>
        <v>21.7</v>
      </c>
      <c r="E151" s="9">
        <v>2.89</v>
      </c>
    </row>
    <row r="152" spans="1:21" x14ac:dyDescent="0.25">
      <c r="A152" s="9">
        <v>12.7</v>
      </c>
      <c r="B152" s="9">
        <v>21</v>
      </c>
      <c r="C152" s="64">
        <f t="shared" si="18"/>
        <v>25.4</v>
      </c>
      <c r="D152" s="64">
        <f t="shared" si="19"/>
        <v>21</v>
      </c>
      <c r="E152" s="9">
        <v>3.11</v>
      </c>
      <c r="Q152" s="9" t="s">
        <v>114</v>
      </c>
      <c r="R152" s="9" t="s">
        <v>115</v>
      </c>
    </row>
    <row r="153" spans="1:21" x14ac:dyDescent="0.25">
      <c r="A153" s="9">
        <v>19.8</v>
      </c>
      <c r="B153" s="9">
        <v>19.600000000000001</v>
      </c>
      <c r="C153" s="64">
        <f t="shared" si="18"/>
        <v>39.6</v>
      </c>
      <c r="D153" s="64">
        <f t="shared" si="19"/>
        <v>19.600000000000001</v>
      </c>
      <c r="E153" s="9">
        <v>3.45</v>
      </c>
      <c r="Q153" s="9">
        <v>0</v>
      </c>
      <c r="R153" s="71">
        <f>(-$S$150)*(Q153^2)-($T$150*Q153)+$U$150</f>
        <v>22.992999999999999</v>
      </c>
    </row>
    <row r="154" spans="1:21" x14ac:dyDescent="0.25">
      <c r="A154" s="9">
        <v>27.5</v>
      </c>
      <c r="B154" s="9">
        <v>18</v>
      </c>
      <c r="C154" s="64">
        <f t="shared" si="18"/>
        <v>55</v>
      </c>
      <c r="D154" s="64">
        <f t="shared" si="19"/>
        <v>18</v>
      </c>
      <c r="E154" s="9">
        <v>3.75</v>
      </c>
      <c r="Q154" s="9">
        <v>8.4</v>
      </c>
      <c r="R154" s="71">
        <f t="shared" ref="R154:R162" si="20">(-$S$150)*(Q154^2)-($T$150*Q154)+$U$150</f>
        <v>21.724767999999997</v>
      </c>
    </row>
    <row r="155" spans="1:21" x14ac:dyDescent="0.25">
      <c r="A155" s="9">
        <v>41.6</v>
      </c>
      <c r="B155" s="9">
        <v>14.4</v>
      </c>
      <c r="C155" s="64">
        <f t="shared" si="18"/>
        <v>83.2</v>
      </c>
      <c r="D155" s="64">
        <f t="shared" si="19"/>
        <v>14.4</v>
      </c>
      <c r="E155" s="9">
        <v>4.16</v>
      </c>
      <c r="Q155" s="9">
        <v>12.7</v>
      </c>
      <c r="R155" s="71">
        <f t="shared" si="20"/>
        <v>20.982716999999997</v>
      </c>
    </row>
    <row r="156" spans="1:21" x14ac:dyDescent="0.25">
      <c r="A156" s="9">
        <v>50</v>
      </c>
      <c r="B156" s="9">
        <v>11.9</v>
      </c>
      <c r="C156" s="64">
        <f t="shared" si="18"/>
        <v>100</v>
      </c>
      <c r="D156" s="64">
        <f t="shared" si="19"/>
        <v>11.9</v>
      </c>
      <c r="E156" s="9">
        <v>4.3099999999999996</v>
      </c>
      <c r="Q156" s="9">
        <v>19.8</v>
      </c>
      <c r="R156" s="71">
        <f t="shared" si="20"/>
        <v>19.619871999999997</v>
      </c>
    </row>
    <row r="157" spans="1:21" x14ac:dyDescent="0.25">
      <c r="A157" s="9">
        <v>65</v>
      </c>
      <c r="B157" s="9">
        <v>7</v>
      </c>
      <c r="C157" s="64">
        <f t="shared" si="18"/>
        <v>130</v>
      </c>
      <c r="D157" s="64">
        <f t="shared" si="19"/>
        <v>7</v>
      </c>
      <c r="E157" s="9">
        <v>4.42</v>
      </c>
      <c r="Q157" s="9">
        <v>27.5</v>
      </c>
      <c r="R157" s="71">
        <f t="shared" si="20"/>
        <v>17.948124999999997</v>
      </c>
    </row>
    <row r="158" spans="1:21" x14ac:dyDescent="0.25">
      <c r="A158" s="9">
        <v>71.5</v>
      </c>
      <c r="B158" s="9">
        <v>4.5999999999999996</v>
      </c>
      <c r="C158" s="64">
        <f t="shared" si="18"/>
        <v>143</v>
      </c>
      <c r="D158" s="64">
        <f t="shared" si="19"/>
        <v>4.5999999999999996</v>
      </c>
      <c r="E158" s="9">
        <v>4.3899999999999997</v>
      </c>
      <c r="Q158" s="9">
        <v>41.6</v>
      </c>
      <c r="R158" s="71">
        <f t="shared" si="20"/>
        <v>14.364327999999999</v>
      </c>
    </row>
    <row r="159" spans="1:21" x14ac:dyDescent="0.25">
      <c r="Q159" s="9">
        <v>50</v>
      </c>
      <c r="R159" s="71">
        <f t="shared" si="20"/>
        <v>11.907999999999999</v>
      </c>
    </row>
    <row r="160" spans="1:21" x14ac:dyDescent="0.25">
      <c r="Q160" s="9">
        <v>65</v>
      </c>
      <c r="R160" s="71">
        <f t="shared" si="20"/>
        <v>6.9250000000000007</v>
      </c>
    </row>
    <row r="161" spans="1:21" x14ac:dyDescent="0.25">
      <c r="Q161" s="9">
        <v>71.5</v>
      </c>
      <c r="R161" s="71">
        <f t="shared" si="20"/>
        <v>4.5281249999999993</v>
      </c>
    </row>
    <row r="162" spans="1:21" x14ac:dyDescent="0.25">
      <c r="P162" t="s">
        <v>114</v>
      </c>
      <c r="Q162" s="75">
        <v>6</v>
      </c>
      <c r="R162" s="71">
        <f t="shared" si="20"/>
        <v>22.111599999999999</v>
      </c>
    </row>
    <row r="166" spans="1:21" x14ac:dyDescent="0.25">
      <c r="A166" s="9"/>
      <c r="B166" s="9"/>
      <c r="C166" s="9"/>
      <c r="D166" s="9"/>
      <c r="E166" s="9"/>
    </row>
    <row r="169" spans="1:21" x14ac:dyDescent="0.25">
      <c r="A169" s="9" t="s">
        <v>132</v>
      </c>
    </row>
    <row r="170" spans="1:21" x14ac:dyDescent="0.25">
      <c r="A170" s="9" t="s">
        <v>114</v>
      </c>
      <c r="B170" s="9" t="s">
        <v>115</v>
      </c>
      <c r="C170" s="9" t="s">
        <v>116</v>
      </c>
      <c r="Q170" t="s">
        <v>117</v>
      </c>
      <c r="R170" t="s">
        <v>118</v>
      </c>
      <c r="S170" t="s">
        <v>119</v>
      </c>
      <c r="T170" t="s">
        <v>120</v>
      </c>
      <c r="U170" t="s">
        <v>121</v>
      </c>
    </row>
    <row r="171" spans="1:21" x14ac:dyDescent="0.25">
      <c r="A171" s="9">
        <v>0</v>
      </c>
      <c r="B171" s="9">
        <v>9.39</v>
      </c>
      <c r="C171" s="9">
        <v>1.35</v>
      </c>
      <c r="R171" s="77">
        <v>3.9999999999999998E-6</v>
      </c>
      <c r="S171">
        <v>8.0000000000000004E-4</v>
      </c>
      <c r="T171">
        <v>1.8800000000000001E-2</v>
      </c>
      <c r="U171">
        <v>9.3687000000000005</v>
      </c>
    </row>
    <row r="172" spans="1:21" x14ac:dyDescent="0.25">
      <c r="A172" s="9">
        <v>13.13</v>
      </c>
      <c r="B172" s="9">
        <v>8.9600000000000009</v>
      </c>
      <c r="C172" s="9">
        <v>1.52</v>
      </c>
      <c r="Q172" s="9" t="s">
        <v>114</v>
      </c>
      <c r="R172" s="9" t="s">
        <v>115</v>
      </c>
    </row>
    <row r="173" spans="1:21" x14ac:dyDescent="0.25">
      <c r="A173" s="9">
        <v>25.76</v>
      </c>
      <c r="B173" s="9">
        <v>8.3699999999999992</v>
      </c>
      <c r="C173" s="9">
        <v>1.63</v>
      </c>
      <c r="Q173" s="9">
        <v>0</v>
      </c>
      <c r="R173" s="71">
        <f>($R$171*(Q173^3))-($S$171)*(Q173^2)-($T$171*Q173)+$U$171</f>
        <v>9.3687000000000005</v>
      </c>
    </row>
    <row r="174" spans="1:21" x14ac:dyDescent="0.25">
      <c r="A174" s="9">
        <v>38.92</v>
      </c>
      <c r="B174" s="9">
        <v>7.61</v>
      </c>
      <c r="C174" s="9">
        <v>1.71</v>
      </c>
      <c r="Q174" s="9">
        <v>13.13</v>
      </c>
      <c r="R174" s="71">
        <f t="shared" ref="R174:R183" si="21">($R$171*(Q174^3))-($S$171)*(Q174^2)-($T$171*Q174)+$U$171</f>
        <v>8.9929927651880011</v>
      </c>
    </row>
    <row r="175" spans="1:21" x14ac:dyDescent="0.25">
      <c r="A175" s="9">
        <v>51.88</v>
      </c>
      <c r="B175" s="9">
        <v>6.73</v>
      </c>
      <c r="C175" s="9">
        <v>1.78</v>
      </c>
      <c r="Q175" s="9">
        <v>25.76</v>
      </c>
      <c r="R175" s="71">
        <f t="shared" si="21"/>
        <v>8.4219249559040001</v>
      </c>
    </row>
    <row r="176" spans="1:21" x14ac:dyDescent="0.25">
      <c r="A176" s="9">
        <v>64.81</v>
      </c>
      <c r="B176" s="9">
        <v>5.77</v>
      </c>
      <c r="C176" s="9">
        <v>1.86</v>
      </c>
      <c r="Q176" s="9">
        <v>38.92</v>
      </c>
      <c r="R176" s="71">
        <f t="shared" si="21"/>
        <v>7.6610097131520005</v>
      </c>
    </row>
    <row r="177" spans="1:21" x14ac:dyDescent="0.25">
      <c r="A177" s="9">
        <v>77.86</v>
      </c>
      <c r="B177" s="9">
        <v>4.78</v>
      </c>
      <c r="C177" s="9">
        <v>1.94</v>
      </c>
      <c r="Q177" s="9">
        <v>51.88</v>
      </c>
      <c r="R177" s="71">
        <f t="shared" si="21"/>
        <v>6.7986756986879993</v>
      </c>
    </row>
    <row r="178" spans="1:21" x14ac:dyDescent="0.25">
      <c r="A178" s="9">
        <v>91.11</v>
      </c>
      <c r="B178" s="9">
        <v>3.83</v>
      </c>
      <c r="C178" s="9">
        <v>2.04</v>
      </c>
      <c r="Q178" s="9">
        <v>64.81</v>
      </c>
      <c r="R178" s="71">
        <f t="shared" si="21"/>
        <v>5.8788982505640002</v>
      </c>
    </row>
    <row r="179" spans="1:21" x14ac:dyDescent="0.25">
      <c r="A179" s="9">
        <v>103.71</v>
      </c>
      <c r="B179" s="9">
        <v>3.04</v>
      </c>
      <c r="C179" s="9">
        <v>2.14</v>
      </c>
      <c r="Q179" s="9">
        <v>77.86</v>
      </c>
      <c r="R179" s="71">
        <f t="shared" si="21"/>
        <v>4.943193534624001</v>
      </c>
    </row>
    <row r="180" spans="1:21" x14ac:dyDescent="0.25">
      <c r="A180" s="9">
        <v>116.06</v>
      </c>
      <c r="B180" s="9">
        <v>2.4700000000000002</v>
      </c>
      <c r="C180" s="9">
        <v>2.2400000000000002</v>
      </c>
      <c r="Q180" s="9">
        <v>91.11</v>
      </c>
      <c r="R180" s="71">
        <f t="shared" si="21"/>
        <v>4.040234458524</v>
      </c>
    </row>
    <row r="181" spans="1:21" x14ac:dyDescent="0.25">
      <c r="Q181" s="9">
        <v>103.71</v>
      </c>
      <c r="R181" s="71">
        <f t="shared" si="21"/>
        <v>3.2762618992440018</v>
      </c>
    </row>
    <row r="182" spans="1:21" x14ac:dyDescent="0.25">
      <c r="Q182" s="9">
        <v>116.06</v>
      </c>
      <c r="R182" s="71">
        <f t="shared" si="21"/>
        <v>2.6641104520640004</v>
      </c>
    </row>
    <row r="183" spans="1:21" x14ac:dyDescent="0.25">
      <c r="P183" t="s">
        <v>114</v>
      </c>
      <c r="Q183" s="75">
        <v>6</v>
      </c>
      <c r="R183" s="71">
        <f t="shared" si="21"/>
        <v>9.2279640000000001</v>
      </c>
    </row>
    <row r="191" spans="1:21" x14ac:dyDescent="0.25">
      <c r="A191" s="9" t="s">
        <v>133</v>
      </c>
    </row>
    <row r="192" spans="1:21" x14ac:dyDescent="0.25">
      <c r="A192" s="9" t="s">
        <v>114</v>
      </c>
      <c r="B192" s="9" t="s">
        <v>115</v>
      </c>
      <c r="C192" s="9" t="s">
        <v>116</v>
      </c>
      <c r="Q192" t="s">
        <v>117</v>
      </c>
      <c r="R192" t="s">
        <v>118</v>
      </c>
      <c r="S192" t="s">
        <v>119</v>
      </c>
      <c r="T192" t="s">
        <v>120</v>
      </c>
      <c r="U192" t="s">
        <v>121</v>
      </c>
    </row>
    <row r="193" spans="1:21" x14ac:dyDescent="0.25">
      <c r="A193" s="64">
        <v>0</v>
      </c>
      <c r="B193" s="64">
        <v>11.73</v>
      </c>
      <c r="C193" s="64">
        <v>2.1</v>
      </c>
      <c r="R193" s="77">
        <v>3.0000000000000001E-6</v>
      </c>
      <c r="S193">
        <v>6.9999999999999999E-4</v>
      </c>
      <c r="T193">
        <v>1.8800000000000001E-2</v>
      </c>
      <c r="U193">
        <v>11.702999999999999</v>
      </c>
    </row>
    <row r="194" spans="1:21" x14ac:dyDescent="0.25">
      <c r="A194" s="64">
        <v>16.399999999999999</v>
      </c>
      <c r="B194" s="64">
        <v>11.19</v>
      </c>
      <c r="C194" s="64">
        <v>2.36</v>
      </c>
      <c r="Q194" s="9" t="s">
        <v>114</v>
      </c>
      <c r="R194" s="9" t="s">
        <v>115</v>
      </c>
    </row>
    <row r="195" spans="1:21" x14ac:dyDescent="0.25">
      <c r="A195" s="64">
        <v>32.18</v>
      </c>
      <c r="B195" s="64">
        <v>10.46</v>
      </c>
      <c r="C195" s="64">
        <v>2.5299999999999998</v>
      </c>
      <c r="Q195" s="64">
        <v>0</v>
      </c>
      <c r="R195" s="71">
        <f>($R$193*(Q195^3))-($S$193*(Q195^2))-($T$193*Q195)+$U$193</f>
        <v>11.702999999999999</v>
      </c>
    </row>
    <row r="196" spans="1:21" x14ac:dyDescent="0.25">
      <c r="A196" s="64">
        <v>48.62</v>
      </c>
      <c r="B196" s="64">
        <v>9.5</v>
      </c>
      <c r="C196" s="64">
        <v>2.67</v>
      </c>
      <c r="Q196" s="64">
        <v>16.399999999999999</v>
      </c>
      <c r="R196" s="71">
        <f t="shared" ref="R196:R205" si="22">($R$193*(Q196^3))-($S$193*(Q196^2))-($T$193*Q196)+$U$193</f>
        <v>11.219640832</v>
      </c>
    </row>
    <row r="197" spans="1:21" x14ac:dyDescent="0.25">
      <c r="A197" s="64">
        <v>64.8</v>
      </c>
      <c r="B197" s="64">
        <v>8.41</v>
      </c>
      <c r="C197" s="64">
        <v>2.78</v>
      </c>
      <c r="Q197" s="64">
        <v>32.18</v>
      </c>
      <c r="R197" s="71">
        <f t="shared" si="22"/>
        <v>10.473101548696</v>
      </c>
      <c r="T197" s="77"/>
    </row>
    <row r="198" spans="1:21" x14ac:dyDescent="0.25">
      <c r="A198" s="64">
        <v>80.959999999999994</v>
      </c>
      <c r="B198" s="64">
        <v>7.21</v>
      </c>
      <c r="C198" s="64">
        <v>2.9</v>
      </c>
      <c r="Q198" s="64">
        <v>48.62</v>
      </c>
      <c r="R198" s="71">
        <f t="shared" si="22"/>
        <v>9.4790100157839987</v>
      </c>
    </row>
    <row r="199" spans="1:21" x14ac:dyDescent="0.25">
      <c r="A199" s="64">
        <v>97.26</v>
      </c>
      <c r="B199" s="64">
        <v>5.98</v>
      </c>
      <c r="C199" s="64">
        <v>3.03</v>
      </c>
      <c r="Q199" s="64">
        <v>64.8</v>
      </c>
      <c r="R199" s="71">
        <f t="shared" si="22"/>
        <v>8.361725375999999</v>
      </c>
    </row>
    <row r="200" spans="1:21" x14ac:dyDescent="0.25">
      <c r="A200" s="64">
        <v>113.81</v>
      </c>
      <c r="B200" s="64">
        <v>4.78</v>
      </c>
      <c r="C200" s="64">
        <v>3.18</v>
      </c>
      <c r="Q200" s="64">
        <v>80.959999999999994</v>
      </c>
      <c r="R200" s="71">
        <f t="shared" si="22"/>
        <v>7.1847490862079999</v>
      </c>
    </row>
    <row r="201" spans="1:21" x14ac:dyDescent="0.25">
      <c r="A201" s="64">
        <v>129.55000000000001</v>
      </c>
      <c r="B201" s="64">
        <v>3.8</v>
      </c>
      <c r="C201" s="64">
        <v>3.34</v>
      </c>
      <c r="Q201" s="64">
        <v>97.26</v>
      </c>
      <c r="R201" s="71">
        <f t="shared" si="22"/>
        <v>6.0129518075279993</v>
      </c>
    </row>
    <row r="202" spans="1:21" x14ac:dyDescent="0.25">
      <c r="A202" s="64">
        <v>144.97</v>
      </c>
      <c r="B202" s="64">
        <v>3.09</v>
      </c>
      <c r="C202" s="64">
        <v>3.49</v>
      </c>
      <c r="Q202" s="64">
        <v>113.81</v>
      </c>
      <c r="R202" s="71">
        <f t="shared" si="22"/>
        <v>4.9189165880230004</v>
      </c>
    </row>
    <row r="203" spans="1:21" x14ac:dyDescent="0.25">
      <c r="Q203" s="64">
        <v>129.55000000000001</v>
      </c>
      <c r="R203" s="71">
        <f t="shared" si="22"/>
        <v>4.0420099016249997</v>
      </c>
    </row>
    <row r="204" spans="1:21" x14ac:dyDescent="0.25">
      <c r="Q204" s="64">
        <v>144.97</v>
      </c>
      <c r="R204" s="71">
        <f t="shared" si="22"/>
        <v>3.4063527944190017</v>
      </c>
    </row>
    <row r="205" spans="1:21" x14ac:dyDescent="0.25">
      <c r="P205" t="s">
        <v>114</v>
      </c>
      <c r="Q205" s="75">
        <v>6</v>
      </c>
      <c r="R205" s="71">
        <f t="shared" si="22"/>
        <v>11.565647999999999</v>
      </c>
    </row>
    <row r="213" spans="1:21" x14ac:dyDescent="0.25">
      <c r="A213" s="9" t="s">
        <v>134</v>
      </c>
    </row>
    <row r="214" spans="1:21" x14ac:dyDescent="0.25">
      <c r="A214" s="9" t="s">
        <v>114</v>
      </c>
      <c r="B214" s="9" t="s">
        <v>115</v>
      </c>
      <c r="C214" s="9" t="s">
        <v>116</v>
      </c>
      <c r="Q214" t="s">
        <v>117</v>
      </c>
      <c r="R214" t="s">
        <v>118</v>
      </c>
      <c r="S214" t="s">
        <v>119</v>
      </c>
      <c r="T214" t="s">
        <v>120</v>
      </c>
      <c r="U214" t="s">
        <v>121</v>
      </c>
    </row>
    <row r="215" spans="1:21" x14ac:dyDescent="0.25">
      <c r="A215" s="9">
        <v>0</v>
      </c>
      <c r="B215" s="9">
        <v>14.8</v>
      </c>
      <c r="C215" s="9">
        <v>3.55</v>
      </c>
      <c r="Q215" s="77">
        <v>2E-8</v>
      </c>
      <c r="R215" s="77">
        <v>5.0000000000000004E-6</v>
      </c>
      <c r="S215">
        <v>2.0000000000000001E-4</v>
      </c>
      <c r="T215">
        <v>4.5499999999999999E-2</v>
      </c>
      <c r="U215">
        <v>14.807</v>
      </c>
    </row>
    <row r="216" spans="1:21" x14ac:dyDescent="0.25">
      <c r="A216" s="9">
        <v>25</v>
      </c>
      <c r="B216" s="9">
        <v>13.8</v>
      </c>
      <c r="C216" s="9">
        <v>4.04</v>
      </c>
    </row>
    <row r="217" spans="1:21" x14ac:dyDescent="0.25">
      <c r="A217" s="9">
        <v>50</v>
      </c>
      <c r="B217" s="9">
        <v>12.65</v>
      </c>
      <c r="C217" s="9">
        <v>4.5</v>
      </c>
      <c r="Q217" s="9" t="s">
        <v>114</v>
      </c>
      <c r="R217" s="9" t="s">
        <v>115</v>
      </c>
    </row>
    <row r="218" spans="1:21" x14ac:dyDescent="0.25">
      <c r="A218" s="9">
        <v>75</v>
      </c>
      <c r="B218" s="9">
        <v>11.25</v>
      </c>
      <c r="C218" s="9">
        <v>4.9000000000000004</v>
      </c>
      <c r="Q218" s="9">
        <v>0</v>
      </c>
      <c r="R218" s="71">
        <f>($Q$215*(Q218^4))-($R$215*(Q218^3))+($S$215)*(Q218^2)-($T$215*Q218)+$U$215</f>
        <v>14.807</v>
      </c>
      <c r="S218" s="71"/>
    </row>
    <row r="219" spans="1:21" x14ac:dyDescent="0.25">
      <c r="A219" s="9">
        <v>100</v>
      </c>
      <c r="B219" s="9">
        <v>9.4700000000000006</v>
      </c>
      <c r="C219" s="9">
        <v>5.0999999999999996</v>
      </c>
      <c r="Q219" s="9">
        <v>25</v>
      </c>
      <c r="R219" s="71">
        <f t="shared" ref="R219:R226" si="23">($Q$215*(Q219^4))-($R$215*(Q219^3))+($S$215)*(Q219^2)-($T$215*Q219)+$U$215</f>
        <v>13.724187500000001</v>
      </c>
      <c r="S219" s="71"/>
    </row>
    <row r="220" spans="1:21" x14ac:dyDescent="0.25">
      <c r="A220" s="9">
        <v>125</v>
      </c>
      <c r="B220" s="9">
        <v>7.35</v>
      </c>
      <c r="C220" s="9">
        <v>5.18</v>
      </c>
      <c r="Q220" s="9">
        <v>50</v>
      </c>
      <c r="R220" s="71">
        <f t="shared" si="23"/>
        <v>12.532</v>
      </c>
      <c r="S220" s="71"/>
    </row>
    <row r="221" spans="1:21" x14ac:dyDescent="0.25">
      <c r="A221" s="9">
        <v>150</v>
      </c>
      <c r="B221" s="9">
        <v>5.0999999999999996</v>
      </c>
      <c r="C221" s="9">
        <v>5.2</v>
      </c>
      <c r="Q221" s="9">
        <v>75</v>
      </c>
      <c r="R221" s="71">
        <f t="shared" si="23"/>
        <v>11.042937500000001</v>
      </c>
      <c r="S221" s="71"/>
    </row>
    <row r="222" spans="1:21" x14ac:dyDescent="0.25">
      <c r="Q222" s="9">
        <v>100</v>
      </c>
      <c r="R222" s="71">
        <f t="shared" si="23"/>
        <v>9.2570000000000014</v>
      </c>
      <c r="S222" s="71"/>
    </row>
    <row r="223" spans="1:21" x14ac:dyDescent="0.25">
      <c r="Q223" s="9">
        <v>125</v>
      </c>
      <c r="R223" s="71">
        <f t="shared" si="23"/>
        <v>7.3616875000000004</v>
      </c>
      <c r="S223" s="71"/>
    </row>
    <row r="224" spans="1:21" x14ac:dyDescent="0.25">
      <c r="Q224" s="9">
        <v>150</v>
      </c>
      <c r="R224" s="71">
        <f t="shared" si="23"/>
        <v>5.7320000000000011</v>
      </c>
      <c r="S224" s="71"/>
    </row>
    <row r="225" spans="1:23" x14ac:dyDescent="0.25">
      <c r="Q225" s="9">
        <v>175</v>
      </c>
      <c r="R225" s="71">
        <f t="shared" si="23"/>
        <v>4.9304374999999983</v>
      </c>
      <c r="S225" s="71"/>
    </row>
    <row r="226" spans="1:23" x14ac:dyDescent="0.25">
      <c r="P226" t="s">
        <v>114</v>
      </c>
      <c r="Q226" s="75">
        <v>6</v>
      </c>
      <c r="R226" s="71">
        <f t="shared" si="23"/>
        <v>14.540145920000001</v>
      </c>
    </row>
    <row r="227" spans="1:23" x14ac:dyDescent="0.25">
      <c r="S227" s="77"/>
    </row>
    <row r="228" spans="1:23" x14ac:dyDescent="0.25">
      <c r="Q228" s="9">
        <v>175</v>
      </c>
      <c r="R228" s="9">
        <v>3.2</v>
      </c>
      <c r="S228" s="9">
        <v>5.2</v>
      </c>
      <c r="V228" s="77"/>
    </row>
    <row r="229" spans="1:23" x14ac:dyDescent="0.25">
      <c r="S229" s="77"/>
    </row>
    <row r="230" spans="1:23" x14ac:dyDescent="0.25">
      <c r="Q230" s="77"/>
      <c r="S230" s="77"/>
    </row>
    <row r="231" spans="1:23" x14ac:dyDescent="0.25">
      <c r="S231" s="77"/>
    </row>
    <row r="236" spans="1:23" x14ac:dyDescent="0.25">
      <c r="A236" s="9" t="s">
        <v>135</v>
      </c>
    </row>
    <row r="237" spans="1:23" x14ac:dyDescent="0.25">
      <c r="A237" s="9" t="s">
        <v>114</v>
      </c>
      <c r="B237" s="9" t="s">
        <v>115</v>
      </c>
      <c r="C237" s="9" t="s">
        <v>116</v>
      </c>
      <c r="Q237" t="s">
        <v>117</v>
      </c>
      <c r="R237" t="s">
        <v>118</v>
      </c>
      <c r="S237" t="s">
        <v>119</v>
      </c>
      <c r="T237" t="s">
        <v>120</v>
      </c>
      <c r="U237" t="s">
        <v>121</v>
      </c>
      <c r="W237" t="s">
        <v>136</v>
      </c>
    </row>
    <row r="238" spans="1:23" x14ac:dyDescent="0.25">
      <c r="A238" s="9">
        <v>0</v>
      </c>
      <c r="B238" s="9">
        <v>18.03</v>
      </c>
      <c r="C238" s="9">
        <v>4.3099999999999996</v>
      </c>
      <c r="Q238" s="77">
        <v>1E-8</v>
      </c>
      <c r="R238" s="77">
        <v>3.9999999999999998E-6</v>
      </c>
      <c r="S238">
        <v>1E-4</v>
      </c>
      <c r="T238">
        <v>3.5400000000000001E-2</v>
      </c>
      <c r="U238">
        <v>18.027000000000001</v>
      </c>
    </row>
    <row r="239" spans="1:23" x14ac:dyDescent="0.25">
      <c r="A239" s="9">
        <v>37.15</v>
      </c>
      <c r="B239" s="9">
        <v>16.7</v>
      </c>
      <c r="C239" s="9">
        <v>5.25</v>
      </c>
    </row>
    <row r="240" spans="1:23" x14ac:dyDescent="0.25">
      <c r="A240" s="9">
        <v>70.989999999999995</v>
      </c>
      <c r="B240" s="9">
        <v>14.94</v>
      </c>
      <c r="C240" s="9">
        <v>6.21</v>
      </c>
      <c r="Q240" s="9" t="s">
        <v>114</v>
      </c>
      <c r="R240" s="9" t="s">
        <v>115</v>
      </c>
    </row>
    <row r="241" spans="1:19" x14ac:dyDescent="0.25">
      <c r="A241" s="9">
        <v>91.44</v>
      </c>
      <c r="B241" s="9">
        <v>13.66</v>
      </c>
      <c r="C241" s="9">
        <v>6.66</v>
      </c>
      <c r="Q241" s="9">
        <v>0</v>
      </c>
      <c r="R241" s="71">
        <f>($Q$238*(Q241^4))-($R$238*(Q241^3))+($S$238)*(Q241^2)-($T$238*Q241)+$U$238</f>
        <v>18.027000000000001</v>
      </c>
    </row>
    <row r="242" spans="1:19" x14ac:dyDescent="0.25">
      <c r="A242" s="9">
        <v>108.9</v>
      </c>
      <c r="B242" s="9">
        <v>12.23</v>
      </c>
      <c r="C242" s="9">
        <v>7</v>
      </c>
      <c r="Q242" s="9">
        <v>37.15</v>
      </c>
      <c r="R242" s="71">
        <f t="shared" ref="R242:R251" si="24">($Q$238*(Q242^4))-($R$238*(Q242^3))+($S$238)*(Q242^2)-($T$238*Q242)+$U$238</f>
        <v>16.663863427650064</v>
      </c>
    </row>
    <row r="243" spans="1:19" x14ac:dyDescent="0.25">
      <c r="A243" s="9">
        <v>126.07</v>
      </c>
      <c r="B243" s="9">
        <v>10.66</v>
      </c>
      <c r="C243" s="9">
        <v>7.18</v>
      </c>
      <c r="Q243" s="9">
        <v>70.989999999999995</v>
      </c>
      <c r="R243" s="71">
        <f t="shared" si="24"/>
        <v>14.840846520647162</v>
      </c>
    </row>
    <row r="244" spans="1:19" x14ac:dyDescent="0.25">
      <c r="A244" s="9">
        <v>144.5</v>
      </c>
      <c r="B244" s="9">
        <v>8.86</v>
      </c>
      <c r="C244" s="9">
        <v>7.29</v>
      </c>
      <c r="Q244" s="9">
        <v>91.44</v>
      </c>
      <c r="R244" s="71">
        <f t="shared" si="24"/>
        <v>13.267040890204571</v>
      </c>
    </row>
    <row r="245" spans="1:19" x14ac:dyDescent="0.25">
      <c r="Q245" s="9">
        <v>108.9</v>
      </c>
      <c r="R245" s="71">
        <f t="shared" si="24"/>
        <v>11.598397742241001</v>
      </c>
    </row>
    <row r="246" spans="1:19" x14ac:dyDescent="0.25">
      <c r="Q246" s="9">
        <v>126.07</v>
      </c>
      <c r="R246" s="71">
        <f t="shared" si="24"/>
        <v>9.6647187219009627</v>
      </c>
    </row>
    <row r="247" spans="1:19" x14ac:dyDescent="0.25">
      <c r="Q247" s="9">
        <v>144.5</v>
      </c>
      <c r="R247" s="71">
        <f t="shared" si="24"/>
        <v>7.2907889006250013</v>
      </c>
    </row>
    <row r="248" spans="1:19" x14ac:dyDescent="0.25">
      <c r="Q248" s="9">
        <v>161.32</v>
      </c>
      <c r="R248" s="71">
        <f t="shared" si="24"/>
        <v>4.8983875086827791</v>
      </c>
    </row>
    <row r="249" spans="1:19" x14ac:dyDescent="0.25">
      <c r="Q249" s="9">
        <v>180.86</v>
      </c>
      <c r="R249" s="71">
        <f t="shared" si="24"/>
        <v>1.9312850472492826</v>
      </c>
    </row>
    <row r="250" spans="1:19" x14ac:dyDescent="0.25">
      <c r="Q250" s="9">
        <v>198.4</v>
      </c>
      <c r="R250" s="71">
        <f t="shared" si="24"/>
        <v>-0.80412031846400112</v>
      </c>
    </row>
    <row r="251" spans="1:19" x14ac:dyDescent="0.25">
      <c r="P251" t="s">
        <v>114</v>
      </c>
      <c r="Q251" s="78">
        <v>6</v>
      </c>
      <c r="R251" s="71">
        <f t="shared" si="24"/>
        <v>17.81734896</v>
      </c>
    </row>
    <row r="253" spans="1:19" x14ac:dyDescent="0.25">
      <c r="Q253" s="9">
        <v>161.32</v>
      </c>
      <c r="R253" s="9">
        <v>7.43</v>
      </c>
      <c r="S253" s="9">
        <v>7.31</v>
      </c>
    </row>
    <row r="254" spans="1:19" x14ac:dyDescent="0.25">
      <c r="Q254" s="9">
        <v>180.86</v>
      </c>
      <c r="R254" s="9">
        <v>6.06</v>
      </c>
      <c r="S254" s="9">
        <v>7.39</v>
      </c>
    </row>
    <row r="255" spans="1:19" x14ac:dyDescent="0.25">
      <c r="Q255" s="9">
        <v>198.4</v>
      </c>
      <c r="R255" s="9">
        <v>4.9800000000000004</v>
      </c>
      <c r="S255" s="9">
        <v>7.35</v>
      </c>
    </row>
    <row r="257" spans="1:21" x14ac:dyDescent="0.25">
      <c r="A257" s="9" t="s">
        <v>137</v>
      </c>
    </row>
    <row r="258" spans="1:21" x14ac:dyDescent="0.25">
      <c r="A258" s="9" t="s">
        <v>114</v>
      </c>
      <c r="B258" s="9" t="s">
        <v>115</v>
      </c>
      <c r="C258" s="9" t="s">
        <v>116</v>
      </c>
      <c r="Q258" t="s">
        <v>117</v>
      </c>
      <c r="R258" t="s">
        <v>118</v>
      </c>
      <c r="S258" t="s">
        <v>119</v>
      </c>
      <c r="T258" t="s">
        <v>120</v>
      </c>
      <c r="U258" t="s">
        <v>121</v>
      </c>
    </row>
    <row r="259" spans="1:21" x14ac:dyDescent="0.25">
      <c r="A259" s="9">
        <v>0</v>
      </c>
      <c r="B259" s="9">
        <v>21.65</v>
      </c>
      <c r="C259" s="9">
        <v>5.44</v>
      </c>
      <c r="S259">
        <v>2.0000000000000001E-4</v>
      </c>
      <c r="T259">
        <v>2.1700000000000001E-2</v>
      </c>
      <c r="U259">
        <v>21.774000000000001</v>
      </c>
    </row>
    <row r="260" spans="1:21" x14ac:dyDescent="0.25">
      <c r="A260" s="9">
        <v>25</v>
      </c>
      <c r="B260" s="9">
        <v>21.15</v>
      </c>
      <c r="C260" s="9">
        <v>6.35</v>
      </c>
    </row>
    <row r="261" spans="1:21" x14ac:dyDescent="0.25">
      <c r="A261" s="9">
        <v>50</v>
      </c>
      <c r="B261" s="9">
        <v>20.25</v>
      </c>
      <c r="C261" s="9">
        <v>7.35</v>
      </c>
      <c r="Q261" s="9" t="s">
        <v>114</v>
      </c>
      <c r="R261" s="9" t="s">
        <v>115</v>
      </c>
    </row>
    <row r="262" spans="1:21" x14ac:dyDescent="0.25">
      <c r="A262" s="9">
        <v>75</v>
      </c>
      <c r="B262" s="9">
        <v>19</v>
      </c>
      <c r="C262" s="9">
        <v>8.35</v>
      </c>
      <c r="Q262" s="9">
        <v>0</v>
      </c>
      <c r="R262" s="71">
        <f>(-$S$259)*(Q262^2)-($T$259*Q262)+$U$259</f>
        <v>21.774000000000001</v>
      </c>
    </row>
    <row r="263" spans="1:21" x14ac:dyDescent="0.25">
      <c r="A263" s="9">
        <v>100</v>
      </c>
      <c r="B263" s="9">
        <v>17.45</v>
      </c>
      <c r="C263" s="9">
        <v>9.35</v>
      </c>
      <c r="Q263" s="9">
        <v>25</v>
      </c>
      <c r="R263" s="71">
        <f t="shared" ref="R263:R271" si="25">(-$S$259)*(Q263^2)-($T$259*Q263)+$U$259</f>
        <v>21.1065</v>
      </c>
    </row>
    <row r="264" spans="1:21" x14ac:dyDescent="0.25">
      <c r="A264" s="9">
        <v>125</v>
      </c>
      <c r="B264" s="9">
        <v>15.55</v>
      </c>
      <c r="C264" s="9">
        <v>10.050000000000001</v>
      </c>
      <c r="Q264" s="9">
        <v>50</v>
      </c>
      <c r="R264" s="71">
        <f t="shared" si="25"/>
        <v>20.189</v>
      </c>
    </row>
    <row r="265" spans="1:21" x14ac:dyDescent="0.25">
      <c r="A265" s="9">
        <v>150</v>
      </c>
      <c r="B265" s="9">
        <v>13.45</v>
      </c>
      <c r="C265" s="9">
        <v>10.55</v>
      </c>
      <c r="Q265" s="9">
        <v>75</v>
      </c>
      <c r="R265" s="71">
        <f t="shared" si="25"/>
        <v>19.0215</v>
      </c>
    </row>
    <row r="266" spans="1:21" x14ac:dyDescent="0.25">
      <c r="Q266" s="9">
        <v>100</v>
      </c>
      <c r="R266" s="71">
        <f t="shared" si="25"/>
        <v>17.603999999999999</v>
      </c>
    </row>
    <row r="267" spans="1:21" x14ac:dyDescent="0.25">
      <c r="Q267" s="9">
        <v>125</v>
      </c>
      <c r="R267" s="71">
        <f t="shared" si="25"/>
        <v>15.936500000000001</v>
      </c>
    </row>
    <row r="268" spans="1:21" x14ac:dyDescent="0.25">
      <c r="Q268" s="9">
        <v>150</v>
      </c>
      <c r="R268" s="71">
        <f t="shared" si="25"/>
        <v>14.019000000000002</v>
      </c>
    </row>
    <row r="269" spans="1:21" x14ac:dyDescent="0.25">
      <c r="Q269" s="9">
        <v>175</v>
      </c>
      <c r="R269" s="71">
        <f t="shared" si="25"/>
        <v>11.851500000000001</v>
      </c>
    </row>
    <row r="270" spans="1:21" x14ac:dyDescent="0.25">
      <c r="Q270" s="9">
        <v>200.16</v>
      </c>
      <c r="R270" s="71">
        <f t="shared" si="25"/>
        <v>9.4177228799999995</v>
      </c>
    </row>
    <row r="271" spans="1:21" x14ac:dyDescent="0.25">
      <c r="P271" t="s">
        <v>114</v>
      </c>
      <c r="Q271" s="75">
        <v>6</v>
      </c>
      <c r="R271" s="71">
        <f t="shared" si="25"/>
        <v>21.636600000000001</v>
      </c>
    </row>
    <row r="273" spans="1:21" x14ac:dyDescent="0.25">
      <c r="Q273" s="9">
        <v>175</v>
      </c>
      <c r="R273" s="9">
        <v>11.18</v>
      </c>
      <c r="S273" s="9">
        <v>10.9</v>
      </c>
    </row>
    <row r="274" spans="1:21" x14ac:dyDescent="0.25">
      <c r="Q274" s="9">
        <v>200.16</v>
      </c>
      <c r="R274" s="9">
        <v>8.8000000000000007</v>
      </c>
      <c r="S274" s="9">
        <v>11.11</v>
      </c>
    </row>
    <row r="279" spans="1:21" x14ac:dyDescent="0.25">
      <c r="A279" s="9" t="s">
        <v>138</v>
      </c>
    </row>
    <row r="280" spans="1:21" x14ac:dyDescent="0.25">
      <c r="A280" s="9" t="s">
        <v>114</v>
      </c>
      <c r="B280" s="9" t="s">
        <v>115</v>
      </c>
      <c r="C280" s="9" t="s">
        <v>116</v>
      </c>
      <c r="Q280" t="s">
        <v>117</v>
      </c>
      <c r="R280" t="s">
        <v>118</v>
      </c>
      <c r="S280" t="s">
        <v>119</v>
      </c>
      <c r="T280" t="s">
        <v>120</v>
      </c>
      <c r="U280" t="s">
        <v>121</v>
      </c>
    </row>
    <row r="281" spans="1:21" x14ac:dyDescent="0.25">
      <c r="A281" s="9">
        <v>0</v>
      </c>
      <c r="B281" s="9">
        <v>24.2</v>
      </c>
      <c r="C281" s="9">
        <v>6.96</v>
      </c>
      <c r="R281" s="77">
        <v>6.9999999999999997E-7</v>
      </c>
      <c r="S281">
        <v>2.9999999999999997E-4</v>
      </c>
      <c r="T281">
        <v>0.01</v>
      </c>
      <c r="U281">
        <v>24.228000000000002</v>
      </c>
    </row>
    <row r="282" spans="1:21" x14ac:dyDescent="0.25">
      <c r="A282" s="9">
        <v>25</v>
      </c>
      <c r="B282" s="9">
        <v>23.82</v>
      </c>
      <c r="C282" s="9">
        <v>7.95</v>
      </c>
    </row>
    <row r="283" spans="1:21" x14ac:dyDescent="0.25">
      <c r="A283" s="9">
        <v>50</v>
      </c>
      <c r="B283" s="9">
        <v>23</v>
      </c>
      <c r="C283" s="9">
        <v>9</v>
      </c>
      <c r="Q283" s="9" t="s">
        <v>114</v>
      </c>
      <c r="R283" s="9" t="s">
        <v>115</v>
      </c>
    </row>
    <row r="284" spans="1:21" x14ac:dyDescent="0.25">
      <c r="A284" s="9">
        <v>75</v>
      </c>
      <c r="B284" s="9">
        <v>21.85</v>
      </c>
      <c r="C284" s="9">
        <v>10.050000000000001</v>
      </c>
      <c r="Q284" s="9">
        <v>0</v>
      </c>
      <c r="R284" s="74">
        <f>($R$281*(Q284^3))-($S$281*(Q284^2))-($T$281*Q284)+$U$281</f>
        <v>24.228000000000002</v>
      </c>
    </row>
    <row r="285" spans="1:21" x14ac:dyDescent="0.25">
      <c r="A285" s="9">
        <v>100</v>
      </c>
      <c r="B285" s="9">
        <v>20.5</v>
      </c>
      <c r="C285" s="9">
        <v>11.1</v>
      </c>
      <c r="Q285" s="9">
        <v>25</v>
      </c>
      <c r="R285" s="74">
        <f t="shared" ref="R285:R293" si="26">($R$281*(Q285^3))-($S$281*(Q285^2))-($T$281*Q285)+$U$281</f>
        <v>23.801437500000002</v>
      </c>
    </row>
    <row r="286" spans="1:21" x14ac:dyDescent="0.25">
      <c r="Q286" s="9">
        <v>50</v>
      </c>
      <c r="R286" s="74">
        <f t="shared" si="26"/>
        <v>23.0655</v>
      </c>
    </row>
    <row r="287" spans="1:21" x14ac:dyDescent="0.25">
      <c r="Q287" s="9">
        <v>75</v>
      </c>
      <c r="R287" s="74">
        <f t="shared" si="26"/>
        <v>22.085812500000003</v>
      </c>
    </row>
    <row r="288" spans="1:21" x14ac:dyDescent="0.25">
      <c r="Q288" s="9">
        <v>100</v>
      </c>
      <c r="R288" s="74">
        <f t="shared" si="26"/>
        <v>20.928000000000001</v>
      </c>
    </row>
    <row r="289" spans="16:19" x14ac:dyDescent="0.25">
      <c r="Q289" s="9">
        <v>125</v>
      </c>
      <c r="R289" s="74">
        <f t="shared" si="26"/>
        <v>19.657687500000002</v>
      </c>
    </row>
    <row r="290" spans="16:19" x14ac:dyDescent="0.25">
      <c r="Q290" s="9">
        <v>150</v>
      </c>
      <c r="R290" s="74">
        <f t="shared" si="26"/>
        <v>18.340500000000002</v>
      </c>
    </row>
    <row r="291" spans="16:19" x14ac:dyDescent="0.25">
      <c r="Q291" s="9">
        <v>175</v>
      </c>
      <c r="R291" s="74">
        <f t="shared" si="26"/>
        <v>17.0420625</v>
      </c>
    </row>
    <row r="292" spans="16:19" x14ac:dyDescent="0.25">
      <c r="Q292" s="9">
        <v>200.16</v>
      </c>
      <c r="R292" s="74">
        <f t="shared" si="26"/>
        <v>15.820643074867203</v>
      </c>
    </row>
    <row r="293" spans="16:19" x14ac:dyDescent="0.25">
      <c r="P293" t="s">
        <v>114</v>
      </c>
      <c r="Q293" s="75">
        <v>6</v>
      </c>
      <c r="R293" s="74">
        <f t="shared" si="26"/>
        <v>24.157351200000001</v>
      </c>
    </row>
    <row r="296" spans="16:19" x14ac:dyDescent="0.25">
      <c r="Q296" s="9">
        <v>125</v>
      </c>
      <c r="R296" s="9">
        <v>19.05</v>
      </c>
      <c r="S296" s="9">
        <v>12.11</v>
      </c>
    </row>
    <row r="297" spans="16:19" x14ac:dyDescent="0.25">
      <c r="Q297" s="9">
        <v>150</v>
      </c>
      <c r="R297" s="9">
        <v>17.5</v>
      </c>
      <c r="S297" s="9">
        <v>13</v>
      </c>
    </row>
    <row r="298" spans="16:19" x14ac:dyDescent="0.25">
      <c r="Q298" s="9">
        <v>175</v>
      </c>
      <c r="R298" s="9">
        <v>15.85</v>
      </c>
      <c r="S298" s="9">
        <v>13.75</v>
      </c>
    </row>
    <row r="299" spans="16:19" x14ac:dyDescent="0.25">
      <c r="Q299" s="9">
        <v>200.16</v>
      </c>
      <c r="R299" s="9">
        <v>14.2</v>
      </c>
      <c r="S299" s="9">
        <v>14.52</v>
      </c>
    </row>
  </sheetData>
  <sheetProtection algorithmName="SHA-512" hashValue="DsmhAY6x+xIn21YqftyrU43Ph8sIavLykKtNhjoYEj0l5ogQC9JN7BSmJ3ZMD6cVHw99WLb5s3Ku7s8Q6uVEKg==" saltValue="weYwW/Sjv1CNKKH1knbxOg==" spinCount="100000" sheet="1" objects="1" scenarios="1"/>
  <pageMargins left="0.7" right="0.7" top="0.78740157499999996" bottom="0.78740157499999996" header="0.3" footer="0.3"/>
  <pageSetup paperSize="9" orientation="portrait" r:id="rId1"/>
  <drawing r:id="rId2"/>
  <tableParts count="14">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5:P21"/>
  <sheetViews>
    <sheetView showGridLines="0" showRowColHeaders="0" workbookViewId="0">
      <selection activeCell="F114" sqref="F114"/>
    </sheetView>
  </sheetViews>
  <sheetFormatPr baseColWidth="10" defaultRowHeight="15" x14ac:dyDescent="0.25"/>
  <cols>
    <col min="14" max="14" width="20.5703125" customWidth="1"/>
    <col min="15" max="15" width="18.140625" customWidth="1"/>
    <col min="16" max="16" width="11.42578125" style="9"/>
  </cols>
  <sheetData>
    <row r="5" spans="3:16" x14ac:dyDescent="0.25">
      <c r="C5" t="s">
        <v>295</v>
      </c>
    </row>
    <row r="6" spans="3:16" x14ac:dyDescent="0.25">
      <c r="M6" t="s">
        <v>299</v>
      </c>
    </row>
    <row r="7" spans="3:16" ht="46.5" customHeight="1" x14ac:dyDescent="0.25">
      <c r="M7" s="140" t="s">
        <v>278</v>
      </c>
      <c r="N7" s="143" t="s">
        <v>293</v>
      </c>
      <c r="O7" s="143" t="s">
        <v>294</v>
      </c>
      <c r="P7" s="142" t="s">
        <v>298</v>
      </c>
    </row>
    <row r="8" spans="3:16" x14ac:dyDescent="0.25">
      <c r="M8" s="138">
        <v>10</v>
      </c>
      <c r="N8" s="55"/>
      <c r="O8" s="55"/>
    </row>
    <row r="9" spans="3:16" x14ac:dyDescent="0.25">
      <c r="M9" s="139">
        <v>15</v>
      </c>
      <c r="N9" s="55">
        <v>130</v>
      </c>
      <c r="O9" s="55">
        <v>130</v>
      </c>
      <c r="P9" s="9">
        <f>Tabelle11[[#This Row],[DIN EN558 Reihe1 Schieber]]+Tabelle11[[#This Row],[DIN EN558 Reihe1  Rückschlagklappe]]</f>
        <v>260</v>
      </c>
    </row>
    <row r="10" spans="3:16" x14ac:dyDescent="0.25">
      <c r="M10" s="139">
        <v>20</v>
      </c>
      <c r="N10" s="55">
        <v>150</v>
      </c>
      <c r="O10" s="55">
        <v>150</v>
      </c>
      <c r="P10" s="9">
        <f>Tabelle11[[#This Row],[DIN EN558 Reihe1 Schieber]]+Tabelle11[[#This Row],[DIN EN558 Reihe1  Rückschlagklappe]]</f>
        <v>300</v>
      </c>
    </row>
    <row r="11" spans="3:16" x14ac:dyDescent="0.25">
      <c r="M11" s="139">
        <v>25</v>
      </c>
      <c r="N11" s="55">
        <v>160</v>
      </c>
      <c r="O11" s="55">
        <v>160</v>
      </c>
      <c r="P11" s="9">
        <f>Tabelle11[[#This Row],[DIN EN558 Reihe1 Schieber]]+Tabelle11[[#This Row],[DIN EN558 Reihe1  Rückschlagklappe]]</f>
        <v>320</v>
      </c>
    </row>
    <row r="12" spans="3:16" x14ac:dyDescent="0.25">
      <c r="M12" s="139">
        <v>32</v>
      </c>
      <c r="N12" s="55">
        <v>180</v>
      </c>
      <c r="O12" s="55">
        <v>180</v>
      </c>
      <c r="P12" s="9">
        <f>Tabelle11[[#This Row],[DIN EN558 Reihe1 Schieber]]+Tabelle11[[#This Row],[DIN EN558 Reihe1  Rückschlagklappe]]</f>
        <v>360</v>
      </c>
    </row>
    <row r="13" spans="3:16" x14ac:dyDescent="0.25">
      <c r="M13" s="139">
        <v>40</v>
      </c>
      <c r="N13" s="55">
        <v>200</v>
      </c>
      <c r="O13" s="55">
        <v>200</v>
      </c>
      <c r="P13" s="9">
        <f>Tabelle11[[#This Row],[DIN EN558 Reihe1 Schieber]]+Tabelle11[[#This Row],[DIN EN558 Reihe1  Rückschlagklappe]]</f>
        <v>400</v>
      </c>
    </row>
    <row r="14" spans="3:16" x14ac:dyDescent="0.25">
      <c r="M14" s="139">
        <v>50</v>
      </c>
      <c r="N14" s="55">
        <v>230</v>
      </c>
      <c r="O14" s="55">
        <v>230</v>
      </c>
      <c r="P14" s="9">
        <f>Tabelle11[[#This Row],[DIN EN558 Reihe1 Schieber]]+Tabelle11[[#This Row],[DIN EN558 Reihe1  Rückschlagklappe]]</f>
        <v>460</v>
      </c>
    </row>
    <row r="15" spans="3:16" x14ac:dyDescent="0.25">
      <c r="M15" s="139">
        <v>65</v>
      </c>
      <c r="N15" s="55">
        <v>290</v>
      </c>
      <c r="O15" s="55">
        <v>290</v>
      </c>
      <c r="P15" s="9">
        <f>Tabelle11[[#This Row],[DIN EN558 Reihe1 Schieber]]+Tabelle11[[#This Row],[DIN EN558 Reihe1  Rückschlagklappe]]</f>
        <v>580</v>
      </c>
    </row>
    <row r="16" spans="3:16" x14ac:dyDescent="0.25">
      <c r="M16" s="139">
        <v>80</v>
      </c>
      <c r="N16" s="55">
        <v>310</v>
      </c>
      <c r="O16" s="55">
        <v>310</v>
      </c>
      <c r="P16" s="9">
        <f>Tabelle11[[#This Row],[DIN EN558 Reihe1 Schieber]]+Tabelle11[[#This Row],[DIN EN558 Reihe1  Rückschlagklappe]]</f>
        <v>620</v>
      </c>
    </row>
    <row r="17" spans="13:16" x14ac:dyDescent="0.25">
      <c r="M17" s="139">
        <v>100</v>
      </c>
      <c r="N17" s="55">
        <v>350</v>
      </c>
      <c r="O17" s="55">
        <v>350</v>
      </c>
      <c r="P17" s="9">
        <f>Tabelle11[[#This Row],[DIN EN558 Reihe1 Schieber]]+Tabelle11[[#This Row],[DIN EN558 Reihe1  Rückschlagklappe]]</f>
        <v>700</v>
      </c>
    </row>
    <row r="18" spans="13:16" x14ac:dyDescent="0.25">
      <c r="M18" s="139">
        <v>125</v>
      </c>
      <c r="N18" s="55">
        <v>400</v>
      </c>
      <c r="O18" s="55">
        <v>400</v>
      </c>
      <c r="P18" s="9">
        <f>Tabelle11[[#This Row],[DIN EN558 Reihe1 Schieber]]+Tabelle11[[#This Row],[DIN EN558 Reihe1  Rückschlagklappe]]</f>
        <v>800</v>
      </c>
    </row>
    <row r="19" spans="13:16" x14ac:dyDescent="0.25">
      <c r="M19" s="139">
        <v>150</v>
      </c>
      <c r="N19" s="55">
        <v>480</v>
      </c>
      <c r="O19" s="55">
        <v>480</v>
      </c>
      <c r="P19" s="9">
        <f>Tabelle11[[#This Row],[DIN EN558 Reihe1 Schieber]]+Tabelle11[[#This Row],[DIN EN558 Reihe1  Rückschlagklappe]]</f>
        <v>960</v>
      </c>
    </row>
    <row r="20" spans="13:16" x14ac:dyDescent="0.25">
      <c r="M20" s="139">
        <v>200</v>
      </c>
      <c r="N20" s="55">
        <v>600</v>
      </c>
      <c r="O20" s="55">
        <v>600</v>
      </c>
      <c r="P20" s="9">
        <f>Tabelle11[[#This Row],[DIN EN558 Reihe1 Schieber]]+Tabelle11[[#This Row],[DIN EN558 Reihe1  Rückschlagklappe]]</f>
        <v>1200</v>
      </c>
    </row>
    <row r="21" spans="13:16" x14ac:dyDescent="0.25">
      <c r="M21" s="141">
        <v>250</v>
      </c>
      <c r="N21" s="63">
        <v>730</v>
      </c>
      <c r="O21" s="63">
        <v>730</v>
      </c>
      <c r="P21" s="9">
        <f>Tabelle11[[#This Row],[DIN EN558 Reihe1 Schieber]]+Tabelle11[[#This Row],[DIN EN558 Reihe1  Rückschlagklappe]]</f>
        <v>1460</v>
      </c>
    </row>
  </sheetData>
  <sheetProtection algorithmName="SHA-512" hashValue="bvIpZJMv9BMrNcsOeTgkIRVXaXQ78jMHrvLKzYjvYbPDjpPGGDZnyVCZHYxbiPrLPsJU0EBFTwOuw/ydcHp6nw==" saltValue="Fn+NarKD1hr9MPNpdSAAQg==" spinCount="100000" sheet="1" objects="1" scenarios="1"/>
  <pageMargins left="0.7" right="0.7" top="0.78740157499999996" bottom="0.78740157499999996"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4:M41"/>
  <sheetViews>
    <sheetView showGridLines="0" showRowColHeaders="0" workbookViewId="0">
      <selection activeCell="F114" sqref="F114"/>
    </sheetView>
  </sheetViews>
  <sheetFormatPr baseColWidth="10" defaultRowHeight="15" x14ac:dyDescent="0.25"/>
  <cols>
    <col min="4" max="4" width="43" customWidth="1"/>
    <col min="5" max="5" width="15.85546875" customWidth="1"/>
    <col min="6" max="6" width="17.28515625" customWidth="1"/>
    <col min="7" max="7" width="22.42578125" customWidth="1"/>
    <col min="8" max="8" width="22.28515625" customWidth="1"/>
    <col min="10" max="10" width="13.85546875" customWidth="1"/>
    <col min="13" max="13" width="51.28515625" customWidth="1"/>
  </cols>
  <sheetData>
    <row r="4" spans="4:8" x14ac:dyDescent="0.25">
      <c r="E4" t="s">
        <v>367</v>
      </c>
    </row>
    <row r="6" spans="4:8" x14ac:dyDescent="0.25">
      <c r="D6" s="270" t="s">
        <v>301</v>
      </c>
      <c r="E6" s="145" t="s">
        <v>302</v>
      </c>
      <c r="F6" s="145" t="s">
        <v>303</v>
      </c>
      <c r="G6" s="145" t="s">
        <v>304</v>
      </c>
      <c r="H6" s="145" t="s">
        <v>305</v>
      </c>
    </row>
    <row r="7" spans="4:8" ht="22.5" x14ac:dyDescent="0.25">
      <c r="D7" s="270"/>
      <c r="E7" s="146" t="s">
        <v>306</v>
      </c>
      <c r="F7" s="146" t="s">
        <v>306</v>
      </c>
      <c r="G7" s="146" t="s">
        <v>306</v>
      </c>
      <c r="H7" s="146" t="s">
        <v>306</v>
      </c>
    </row>
    <row r="8" spans="4:8" x14ac:dyDescent="0.25">
      <c r="D8" s="158" t="s">
        <v>43</v>
      </c>
      <c r="E8" s="159" t="s">
        <v>236</v>
      </c>
      <c r="F8" s="159" t="s">
        <v>237</v>
      </c>
      <c r="G8" s="159" t="s">
        <v>238</v>
      </c>
      <c r="H8" s="160" t="s">
        <v>239</v>
      </c>
    </row>
    <row r="9" spans="4:8" x14ac:dyDescent="0.25">
      <c r="D9" s="154" t="s">
        <v>307</v>
      </c>
      <c r="E9" s="147" t="s">
        <v>308</v>
      </c>
      <c r="F9" s="147" t="s">
        <v>309</v>
      </c>
      <c r="G9" s="147" t="s">
        <v>309</v>
      </c>
      <c r="H9" s="156" t="s">
        <v>309</v>
      </c>
    </row>
    <row r="10" spans="4:8" x14ac:dyDescent="0.25">
      <c r="D10" s="155" t="s">
        <v>347</v>
      </c>
      <c r="E10" s="147" t="s">
        <v>310</v>
      </c>
      <c r="F10" s="147" t="s">
        <v>311</v>
      </c>
      <c r="G10" s="147" t="s">
        <v>311</v>
      </c>
      <c r="H10" s="156" t="s">
        <v>311</v>
      </c>
    </row>
    <row r="11" spans="4:8" x14ac:dyDescent="0.25">
      <c r="D11" s="155" t="s">
        <v>348</v>
      </c>
      <c r="E11" s="147" t="s">
        <v>312</v>
      </c>
      <c r="F11" s="147" t="s">
        <v>308</v>
      </c>
      <c r="G11" s="147" t="s">
        <v>313</v>
      </c>
      <c r="H11" s="156" t="s">
        <v>308</v>
      </c>
    </row>
    <row r="12" spans="4:8" x14ac:dyDescent="0.25">
      <c r="D12" s="155" t="s">
        <v>349</v>
      </c>
      <c r="E12" s="147" t="s">
        <v>312</v>
      </c>
      <c r="F12" s="147" t="s">
        <v>308</v>
      </c>
      <c r="G12" s="147" t="s">
        <v>311</v>
      </c>
      <c r="H12" s="156" t="s">
        <v>308</v>
      </c>
    </row>
    <row r="13" spans="4:8" x14ac:dyDescent="0.25">
      <c r="D13" s="155" t="s">
        <v>350</v>
      </c>
      <c r="E13" s="147" t="s">
        <v>308</v>
      </c>
      <c r="F13" s="147" t="s">
        <v>309</v>
      </c>
      <c r="G13" s="147" t="s">
        <v>327</v>
      </c>
      <c r="H13" s="156" t="s">
        <v>309</v>
      </c>
    </row>
    <row r="14" spans="4:8" x14ac:dyDescent="0.25">
      <c r="D14" s="154" t="s">
        <v>314</v>
      </c>
      <c r="E14" s="147">
        <v>0.2</v>
      </c>
      <c r="F14" s="147">
        <v>0.2</v>
      </c>
      <c r="G14" s="147">
        <v>0.2</v>
      </c>
      <c r="H14" s="156">
        <v>0.2</v>
      </c>
    </row>
    <row r="15" spans="4:8" x14ac:dyDescent="0.25">
      <c r="D15" s="154" t="s">
        <v>354</v>
      </c>
      <c r="E15" s="147">
        <v>0.1</v>
      </c>
      <c r="F15" s="147" t="s">
        <v>327</v>
      </c>
      <c r="G15" s="147" t="s">
        <v>327</v>
      </c>
      <c r="H15" s="156" t="s">
        <v>327</v>
      </c>
    </row>
    <row r="16" spans="4:8" ht="28.5" customHeight="1" x14ac:dyDescent="0.25">
      <c r="D16" s="154" t="s">
        <v>315</v>
      </c>
      <c r="E16" s="147" t="s">
        <v>312</v>
      </c>
      <c r="F16" s="147" t="s">
        <v>310</v>
      </c>
      <c r="G16" s="147" t="s">
        <v>313</v>
      </c>
      <c r="H16" s="156" t="s">
        <v>308</v>
      </c>
    </row>
    <row r="17" spans="4:10" ht="15" customHeight="1" x14ac:dyDescent="0.25">
      <c r="D17" s="154" t="s">
        <v>353</v>
      </c>
      <c r="E17" s="147">
        <v>0.8</v>
      </c>
      <c r="F17" s="148" t="s">
        <v>327</v>
      </c>
      <c r="G17" s="148" t="s">
        <v>327</v>
      </c>
      <c r="H17" s="157" t="s">
        <v>327</v>
      </c>
    </row>
    <row r="18" spans="4:10" x14ac:dyDescent="0.25">
      <c r="D18" s="155" t="s">
        <v>351</v>
      </c>
      <c r="E18" s="147" t="s">
        <v>312</v>
      </c>
      <c r="F18" s="147" t="s">
        <v>310</v>
      </c>
      <c r="G18" s="147" t="s">
        <v>313</v>
      </c>
      <c r="H18" s="156" t="s">
        <v>308</v>
      </c>
    </row>
    <row r="19" spans="4:10" x14ac:dyDescent="0.25">
      <c r="D19" s="155" t="s">
        <v>346</v>
      </c>
      <c r="E19" s="147" t="s">
        <v>312</v>
      </c>
      <c r="F19" s="147" t="s">
        <v>310</v>
      </c>
      <c r="G19" s="147" t="s">
        <v>316</v>
      </c>
      <c r="H19" s="156" t="s">
        <v>308</v>
      </c>
    </row>
    <row r="20" spans="4:10" x14ac:dyDescent="0.25">
      <c r="D20" s="154" t="s">
        <v>317</v>
      </c>
      <c r="E20" s="147" t="s">
        <v>312</v>
      </c>
      <c r="F20" s="147" t="s">
        <v>310</v>
      </c>
      <c r="G20" s="147" t="s">
        <v>310</v>
      </c>
      <c r="H20" s="156" t="s">
        <v>308</v>
      </c>
    </row>
    <row r="21" spans="4:10" x14ac:dyDescent="0.25">
      <c r="D21" s="154" t="s">
        <v>318</v>
      </c>
      <c r="E21" s="147" t="s">
        <v>319</v>
      </c>
      <c r="F21" s="147" t="s">
        <v>320</v>
      </c>
      <c r="G21" s="147" t="s">
        <v>320</v>
      </c>
      <c r="H21" s="156" t="s">
        <v>321</v>
      </c>
    </row>
    <row r="22" spans="4:10" x14ac:dyDescent="0.25">
      <c r="D22" s="155" t="s">
        <v>352</v>
      </c>
      <c r="E22" s="150">
        <v>1.8</v>
      </c>
      <c r="F22" s="147" t="s">
        <v>322</v>
      </c>
      <c r="G22" s="147" t="s">
        <v>327</v>
      </c>
      <c r="H22" s="156" t="s">
        <v>327</v>
      </c>
    </row>
    <row r="23" spans="4:10" x14ac:dyDescent="0.25">
      <c r="D23" s="155" t="s">
        <v>363</v>
      </c>
      <c r="E23" s="147" t="s">
        <v>323</v>
      </c>
      <c r="F23" s="147" t="s">
        <v>322</v>
      </c>
      <c r="G23" s="147">
        <v>1.2</v>
      </c>
      <c r="H23" s="156" t="s">
        <v>323</v>
      </c>
    </row>
    <row r="24" spans="4:10" x14ac:dyDescent="0.25">
      <c r="D24" s="155" t="s">
        <v>364</v>
      </c>
      <c r="E24" s="147" t="s">
        <v>323</v>
      </c>
      <c r="F24" s="147" t="s">
        <v>322</v>
      </c>
      <c r="G24" s="149">
        <v>1.4</v>
      </c>
      <c r="H24" s="156" t="s">
        <v>323</v>
      </c>
    </row>
    <row r="25" spans="4:10" x14ac:dyDescent="0.25">
      <c r="D25" s="155" t="s">
        <v>365</v>
      </c>
      <c r="E25" s="147" t="s">
        <v>324</v>
      </c>
      <c r="F25" s="147" t="s">
        <v>323</v>
      </c>
      <c r="G25" s="147">
        <v>1.6</v>
      </c>
      <c r="H25" s="156" t="s">
        <v>324</v>
      </c>
      <c r="J25" s="153"/>
    </row>
    <row r="26" spans="4:10" x14ac:dyDescent="0.25">
      <c r="D26" s="154" t="s">
        <v>325</v>
      </c>
      <c r="E26" s="147" t="s">
        <v>312</v>
      </c>
      <c r="F26" s="147" t="s">
        <v>326</v>
      </c>
      <c r="G26" s="147" t="s">
        <v>327</v>
      </c>
      <c r="H26" s="156" t="s">
        <v>310</v>
      </c>
      <c r="J26" s="153"/>
    </row>
    <row r="27" spans="4:10" x14ac:dyDescent="0.25">
      <c r="D27" s="154" t="s">
        <v>328</v>
      </c>
      <c r="E27" s="147" t="s">
        <v>319</v>
      </c>
      <c r="F27" s="147" t="s">
        <v>326</v>
      </c>
      <c r="G27" s="147" t="s">
        <v>327</v>
      </c>
      <c r="H27" s="156" t="s">
        <v>321</v>
      </c>
    </row>
    <row r="28" spans="4:10" ht="56.25" customHeight="1" x14ac:dyDescent="0.25">
      <c r="D28" s="161" t="s">
        <v>329</v>
      </c>
      <c r="E28" s="162" t="s">
        <v>323</v>
      </c>
      <c r="F28" s="162" t="s">
        <v>320</v>
      </c>
      <c r="G28" s="162" t="s">
        <v>327</v>
      </c>
      <c r="H28" s="163" t="s">
        <v>313</v>
      </c>
    </row>
    <row r="29" spans="4:10" ht="57.75" customHeight="1" x14ac:dyDescent="0.25">
      <c r="D29" s="271" t="s">
        <v>330</v>
      </c>
      <c r="E29" s="271"/>
      <c r="F29" s="271"/>
      <c r="G29" s="271"/>
      <c r="H29" s="271"/>
      <c r="J29" s="107"/>
    </row>
    <row r="31" spans="4:10" x14ac:dyDescent="0.25">
      <c r="D31" s="151" t="s">
        <v>355</v>
      </c>
    </row>
    <row r="37" spans="13:13" ht="15.75" x14ac:dyDescent="0.25">
      <c r="M37" s="33" t="s">
        <v>43</v>
      </c>
    </row>
    <row r="38" spans="13:13" ht="15.75" x14ac:dyDescent="0.25">
      <c r="M38" s="33" t="s">
        <v>53</v>
      </c>
    </row>
    <row r="39" spans="13:13" ht="15.75" x14ac:dyDescent="0.25">
      <c r="M39" s="33" t="s">
        <v>331</v>
      </c>
    </row>
    <row r="40" spans="13:13" ht="15.75" x14ac:dyDescent="0.25">
      <c r="M40" s="33" t="s">
        <v>332</v>
      </c>
    </row>
    <row r="41" spans="13:13" ht="15.75" x14ac:dyDescent="0.25">
      <c r="M41" s="33" t="s">
        <v>333</v>
      </c>
    </row>
  </sheetData>
  <sheetProtection algorithmName="SHA-512" hashValue="iVn6OnLT9HX7vg9oxKVj1GM4S/Ccxj+tS5WDZYULls3fVFZ7rQef3u6ubee/a10nI2Ga1xJtCW/iCdh1wBV45g==" saltValue="QwBnFBUoM2KEzu6m0FNs1w==" spinCount="100000" sheet="1" objects="1" scenarios="1"/>
  <mergeCells count="2">
    <mergeCell ref="D6:D7"/>
    <mergeCell ref="D29:H29"/>
  </mergeCells>
  <pageMargins left="0.7" right="0.7" top="0.78740157499999996" bottom="0.78740157499999996"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D3:G136"/>
  <sheetViews>
    <sheetView showGridLines="0" showRowColHeaders="0" workbookViewId="0">
      <selection activeCell="F114" sqref="F114"/>
    </sheetView>
  </sheetViews>
  <sheetFormatPr baseColWidth="10" defaultColWidth="11.42578125" defaultRowHeight="15" x14ac:dyDescent="0.25"/>
  <cols>
    <col min="11" max="11" width="13" customWidth="1"/>
  </cols>
  <sheetData>
    <row r="3" spans="4:7" x14ac:dyDescent="0.25">
      <c r="D3" t="s">
        <v>101</v>
      </c>
    </row>
    <row r="5" spans="4:7" ht="17.25" x14ac:dyDescent="0.25">
      <c r="D5" s="57" t="s">
        <v>102</v>
      </c>
      <c r="E5" s="58" t="s">
        <v>103</v>
      </c>
      <c r="F5" s="58" t="s">
        <v>104</v>
      </c>
      <c r="G5" s="59" t="s">
        <v>105</v>
      </c>
    </row>
    <row r="6" spans="4:7" x14ac:dyDescent="0.25">
      <c r="D6" s="54">
        <f t="shared" ref="D6:D23" si="0">D7-1</f>
        <v>-20</v>
      </c>
      <c r="E6" s="51"/>
      <c r="F6" s="51"/>
      <c r="G6" s="55"/>
    </row>
    <row r="7" spans="4:7" x14ac:dyDescent="0.25">
      <c r="D7" s="54">
        <f t="shared" si="0"/>
        <v>-19</v>
      </c>
      <c r="E7" s="51"/>
      <c r="F7" s="51"/>
      <c r="G7" s="55"/>
    </row>
    <row r="8" spans="4:7" x14ac:dyDescent="0.25">
      <c r="D8" s="54">
        <f t="shared" si="0"/>
        <v>-18</v>
      </c>
      <c r="E8" s="51"/>
      <c r="F8" s="51"/>
      <c r="G8" s="55"/>
    </row>
    <row r="9" spans="4:7" x14ac:dyDescent="0.25">
      <c r="D9" s="54">
        <f t="shared" si="0"/>
        <v>-17</v>
      </c>
      <c r="E9" s="51"/>
      <c r="F9" s="51"/>
      <c r="G9" s="55"/>
    </row>
    <row r="10" spans="4:7" x14ac:dyDescent="0.25">
      <c r="D10" s="54">
        <f t="shared" si="0"/>
        <v>-16</v>
      </c>
      <c r="E10" s="51"/>
      <c r="F10" s="51"/>
      <c r="G10" s="55"/>
    </row>
    <row r="11" spans="4:7" x14ac:dyDescent="0.25">
      <c r="D11" s="54">
        <f t="shared" si="0"/>
        <v>-15</v>
      </c>
      <c r="E11" s="51"/>
      <c r="F11" s="51"/>
      <c r="G11" s="55"/>
    </row>
    <row r="12" spans="4:7" x14ac:dyDescent="0.25">
      <c r="D12" s="54">
        <f t="shared" si="0"/>
        <v>-14</v>
      </c>
      <c r="E12" s="51"/>
      <c r="F12" s="51"/>
      <c r="G12" s="55"/>
    </row>
    <row r="13" spans="4:7" x14ac:dyDescent="0.25">
      <c r="D13" s="54">
        <f t="shared" si="0"/>
        <v>-13</v>
      </c>
      <c r="E13" s="51"/>
      <c r="F13" s="51"/>
      <c r="G13" s="55"/>
    </row>
    <row r="14" spans="4:7" x14ac:dyDescent="0.25">
      <c r="D14" s="54">
        <f t="shared" si="0"/>
        <v>-12</v>
      </c>
      <c r="E14" s="51"/>
      <c r="F14" s="51"/>
      <c r="G14" s="55"/>
    </row>
    <row r="15" spans="4:7" x14ac:dyDescent="0.25">
      <c r="D15" s="54">
        <f t="shared" si="0"/>
        <v>-11</v>
      </c>
      <c r="E15" s="51"/>
      <c r="F15" s="51"/>
      <c r="G15" s="55"/>
    </row>
    <row r="16" spans="4:7" x14ac:dyDescent="0.25">
      <c r="D16" s="54">
        <f t="shared" si="0"/>
        <v>-10</v>
      </c>
      <c r="E16" s="51">
        <v>998</v>
      </c>
      <c r="F16" s="51"/>
      <c r="G16" s="55"/>
    </row>
    <row r="17" spans="4:7" x14ac:dyDescent="0.25">
      <c r="D17" s="54">
        <f t="shared" si="0"/>
        <v>-9</v>
      </c>
      <c r="E17" s="51">
        <v>998</v>
      </c>
      <c r="F17" s="51"/>
      <c r="G17" s="55"/>
    </row>
    <row r="18" spans="4:7" x14ac:dyDescent="0.25">
      <c r="D18" s="54">
        <f t="shared" si="0"/>
        <v>-8</v>
      </c>
      <c r="E18" s="51">
        <v>998</v>
      </c>
      <c r="F18" s="51"/>
      <c r="G18" s="55"/>
    </row>
    <row r="19" spans="4:7" x14ac:dyDescent="0.25">
      <c r="D19" s="54">
        <f t="shared" si="0"/>
        <v>-7</v>
      </c>
      <c r="E19" s="51">
        <v>998</v>
      </c>
      <c r="F19" s="51"/>
      <c r="G19" s="55"/>
    </row>
    <row r="20" spans="4:7" x14ac:dyDescent="0.25">
      <c r="D20" s="54">
        <f t="shared" si="0"/>
        <v>-6</v>
      </c>
      <c r="E20" s="51">
        <v>998</v>
      </c>
      <c r="F20" s="51"/>
      <c r="G20" s="55"/>
    </row>
    <row r="21" spans="4:7" x14ac:dyDescent="0.25">
      <c r="D21" s="54">
        <f t="shared" si="0"/>
        <v>-5</v>
      </c>
      <c r="E21" s="51">
        <v>998</v>
      </c>
      <c r="F21" s="51"/>
      <c r="G21" s="55"/>
    </row>
    <row r="22" spans="4:7" x14ac:dyDescent="0.25">
      <c r="D22" s="54">
        <f t="shared" si="0"/>
        <v>-4</v>
      </c>
      <c r="E22" s="51">
        <v>998</v>
      </c>
      <c r="F22" s="51"/>
      <c r="G22" s="55"/>
    </row>
    <row r="23" spans="4:7" x14ac:dyDescent="0.25">
      <c r="D23" s="54">
        <f t="shared" si="0"/>
        <v>-3</v>
      </c>
      <c r="E23" s="51">
        <v>998</v>
      </c>
      <c r="F23" s="51"/>
      <c r="G23" s="55"/>
    </row>
    <row r="24" spans="4:7" x14ac:dyDescent="0.25">
      <c r="D24" s="54">
        <f>D25-1</f>
        <v>-2</v>
      </c>
      <c r="E24" s="51">
        <v>998</v>
      </c>
      <c r="F24" s="51"/>
      <c r="G24" s="55"/>
    </row>
    <row r="25" spans="4:7" x14ac:dyDescent="0.25">
      <c r="D25" s="54">
        <v>-1</v>
      </c>
      <c r="E25" s="51">
        <v>998</v>
      </c>
      <c r="F25" s="51"/>
      <c r="G25" s="55"/>
    </row>
    <row r="26" spans="4:7" x14ac:dyDescent="0.25">
      <c r="D26" s="54">
        <v>0</v>
      </c>
      <c r="E26" s="51">
        <v>999.8</v>
      </c>
      <c r="F26" s="52">
        <f>G26*10^-6</f>
        <v>1.7929999999999998E-6</v>
      </c>
      <c r="G26" s="56">
        <v>1.7929999999999999</v>
      </c>
    </row>
    <row r="27" spans="4:7" x14ac:dyDescent="0.25">
      <c r="D27" s="54">
        <v>1</v>
      </c>
      <c r="E27" s="51">
        <v>999.9</v>
      </c>
      <c r="F27" s="52">
        <f t="shared" ref="F27:F90" si="1">G27*10^-6</f>
        <v>1.7929999999999998E-6</v>
      </c>
      <c r="G27" s="55">
        <v>1.7929999999999999</v>
      </c>
    </row>
    <row r="28" spans="4:7" x14ac:dyDescent="0.25">
      <c r="D28" s="54">
        <f>D27+1</f>
        <v>2</v>
      </c>
      <c r="E28" s="51">
        <v>999.9</v>
      </c>
      <c r="F28" s="52">
        <f t="shared" si="1"/>
        <v>1.7929999999999998E-6</v>
      </c>
      <c r="G28" s="55">
        <v>1.7929999999999999</v>
      </c>
    </row>
    <row r="29" spans="4:7" x14ac:dyDescent="0.25">
      <c r="D29" s="54">
        <f t="shared" ref="D29:D92" si="2">D28+1</f>
        <v>3</v>
      </c>
      <c r="E29" s="53">
        <v>1000</v>
      </c>
      <c r="F29" s="52">
        <f t="shared" si="1"/>
        <v>1.7929999999999998E-6</v>
      </c>
      <c r="G29" s="55">
        <v>1.7929999999999999</v>
      </c>
    </row>
    <row r="30" spans="4:7" x14ac:dyDescent="0.25">
      <c r="D30" s="54">
        <f t="shared" si="2"/>
        <v>4</v>
      </c>
      <c r="E30" s="53">
        <v>1000</v>
      </c>
      <c r="F30" s="52">
        <f t="shared" si="1"/>
        <v>1.7929999999999998E-6</v>
      </c>
      <c r="G30" s="55">
        <v>1.7929999999999999</v>
      </c>
    </row>
    <row r="31" spans="4:7" x14ac:dyDescent="0.25">
      <c r="D31" s="54">
        <f t="shared" si="2"/>
        <v>5</v>
      </c>
      <c r="E31" s="53">
        <v>1000</v>
      </c>
      <c r="F31" s="52">
        <f t="shared" si="1"/>
        <v>1.5189999999999998E-6</v>
      </c>
      <c r="G31" s="56">
        <v>1.5189999999999999</v>
      </c>
    </row>
    <row r="32" spans="4:7" x14ac:dyDescent="0.25">
      <c r="D32" s="54">
        <f t="shared" si="2"/>
        <v>6</v>
      </c>
      <c r="E32" s="51">
        <v>999.9</v>
      </c>
      <c r="F32" s="52">
        <f t="shared" si="1"/>
        <v>1.5189999999999998E-6</v>
      </c>
      <c r="G32" s="55">
        <v>1.5189999999999999</v>
      </c>
    </row>
    <row r="33" spans="4:7" x14ac:dyDescent="0.25">
      <c r="D33" s="54">
        <f t="shared" si="2"/>
        <v>7</v>
      </c>
      <c r="E33" s="51">
        <v>999.9</v>
      </c>
      <c r="F33" s="52">
        <f t="shared" si="1"/>
        <v>1.5189999999999998E-6</v>
      </c>
      <c r="G33" s="55">
        <v>1.5189999999999999</v>
      </c>
    </row>
    <row r="34" spans="4:7" x14ac:dyDescent="0.25">
      <c r="D34" s="54">
        <f t="shared" si="2"/>
        <v>8</v>
      </c>
      <c r="E34" s="51">
        <v>999.8</v>
      </c>
      <c r="F34" s="52">
        <f t="shared" si="1"/>
        <v>1.5189999999999998E-6</v>
      </c>
      <c r="G34" s="55">
        <v>1.5189999999999999</v>
      </c>
    </row>
    <row r="35" spans="4:7" x14ac:dyDescent="0.25">
      <c r="D35" s="54">
        <f t="shared" si="2"/>
        <v>9</v>
      </c>
      <c r="E35" s="51">
        <v>999.7</v>
      </c>
      <c r="F35" s="52">
        <f t="shared" si="1"/>
        <v>1.5189999999999998E-6</v>
      </c>
      <c r="G35" s="55">
        <v>1.5189999999999999</v>
      </c>
    </row>
    <row r="36" spans="4:7" x14ac:dyDescent="0.25">
      <c r="D36" s="54">
        <f t="shared" si="2"/>
        <v>10</v>
      </c>
      <c r="E36" s="51">
        <v>999.6</v>
      </c>
      <c r="F36" s="52">
        <f t="shared" si="1"/>
        <v>1.3069999999999999E-6</v>
      </c>
      <c r="G36" s="56">
        <v>1.3069999999999999</v>
      </c>
    </row>
    <row r="37" spans="4:7" x14ac:dyDescent="0.25">
      <c r="D37" s="54">
        <f t="shared" si="2"/>
        <v>11</v>
      </c>
      <c r="E37" s="51">
        <v>999.5</v>
      </c>
      <c r="F37" s="52">
        <f t="shared" si="1"/>
        <v>1.3069999999999999E-6</v>
      </c>
      <c r="G37" s="55">
        <v>1.3069999999999999</v>
      </c>
    </row>
    <row r="38" spans="4:7" x14ac:dyDescent="0.25">
      <c r="D38" s="54">
        <f t="shared" si="2"/>
        <v>12</v>
      </c>
      <c r="E38" s="51">
        <v>999.4</v>
      </c>
      <c r="F38" s="52">
        <f t="shared" si="1"/>
        <v>1.3069999999999999E-6</v>
      </c>
      <c r="G38" s="55">
        <v>1.3069999999999999</v>
      </c>
    </row>
    <row r="39" spans="4:7" x14ac:dyDescent="0.25">
      <c r="D39" s="54">
        <f t="shared" si="2"/>
        <v>13</v>
      </c>
      <c r="E39" s="51">
        <v>999.3</v>
      </c>
      <c r="F39" s="52">
        <f t="shared" si="1"/>
        <v>1.3069999999999999E-6</v>
      </c>
      <c r="G39" s="55">
        <v>1.3069999999999999</v>
      </c>
    </row>
    <row r="40" spans="4:7" x14ac:dyDescent="0.25">
      <c r="D40" s="54">
        <f t="shared" si="2"/>
        <v>14</v>
      </c>
      <c r="E40" s="51">
        <v>999.2</v>
      </c>
      <c r="F40" s="52">
        <f t="shared" si="1"/>
        <v>1.3069999999999999E-6</v>
      </c>
      <c r="G40" s="55">
        <v>1.3069999999999999</v>
      </c>
    </row>
    <row r="41" spans="4:7" x14ac:dyDescent="0.25">
      <c r="D41" s="54">
        <f t="shared" si="2"/>
        <v>15</v>
      </c>
      <c r="E41" s="51">
        <v>999</v>
      </c>
      <c r="F41" s="52">
        <f t="shared" si="1"/>
        <v>1.139E-6</v>
      </c>
      <c r="G41" s="56">
        <v>1.139</v>
      </c>
    </row>
    <row r="42" spans="4:7" x14ac:dyDescent="0.25">
      <c r="D42" s="54">
        <f t="shared" si="2"/>
        <v>16</v>
      </c>
      <c r="E42" s="51">
        <v>998.8</v>
      </c>
      <c r="F42" s="52">
        <f t="shared" si="1"/>
        <v>1.139E-6</v>
      </c>
      <c r="G42" s="55">
        <v>1.139</v>
      </c>
    </row>
    <row r="43" spans="4:7" x14ac:dyDescent="0.25">
      <c r="D43" s="54">
        <f t="shared" si="2"/>
        <v>17</v>
      </c>
      <c r="E43" s="51">
        <v>998.7</v>
      </c>
      <c r="F43" s="52">
        <f t="shared" si="1"/>
        <v>1.139E-6</v>
      </c>
      <c r="G43" s="55">
        <v>1.139</v>
      </c>
    </row>
    <row r="44" spans="4:7" x14ac:dyDescent="0.25">
      <c r="D44" s="54">
        <f t="shared" si="2"/>
        <v>18</v>
      </c>
      <c r="E44" s="51">
        <v>998.5</v>
      </c>
      <c r="F44" s="52">
        <f t="shared" si="1"/>
        <v>1.139E-6</v>
      </c>
      <c r="G44" s="55">
        <v>1.139</v>
      </c>
    </row>
    <row r="45" spans="4:7" x14ac:dyDescent="0.25">
      <c r="D45" s="54">
        <f t="shared" si="2"/>
        <v>19</v>
      </c>
      <c r="E45" s="51">
        <v>998.4</v>
      </c>
      <c r="F45" s="52">
        <f t="shared" si="1"/>
        <v>1.139E-6</v>
      </c>
      <c r="G45" s="55">
        <v>1.139</v>
      </c>
    </row>
    <row r="46" spans="4:7" x14ac:dyDescent="0.25">
      <c r="D46" s="54">
        <f t="shared" si="2"/>
        <v>20</v>
      </c>
      <c r="E46" s="51">
        <v>998.2</v>
      </c>
      <c r="F46" s="52">
        <f t="shared" si="1"/>
        <v>1.004E-6</v>
      </c>
      <c r="G46" s="56">
        <v>1.004</v>
      </c>
    </row>
    <row r="47" spans="4:7" x14ac:dyDescent="0.25">
      <c r="D47" s="54">
        <f t="shared" si="2"/>
        <v>21</v>
      </c>
      <c r="E47" s="51">
        <v>997.9</v>
      </c>
      <c r="F47" s="52">
        <f t="shared" si="1"/>
        <v>1.004E-6</v>
      </c>
      <c r="G47" s="55">
        <v>1.004</v>
      </c>
    </row>
    <row r="48" spans="4:7" x14ac:dyDescent="0.25">
      <c r="D48" s="54">
        <f t="shared" si="2"/>
        <v>22</v>
      </c>
      <c r="E48" s="51">
        <v>997.7</v>
      </c>
      <c r="F48" s="52">
        <f t="shared" si="1"/>
        <v>1.004E-6</v>
      </c>
      <c r="G48" s="55">
        <v>1.004</v>
      </c>
    </row>
    <row r="49" spans="4:7" x14ac:dyDescent="0.25">
      <c r="D49" s="54">
        <f t="shared" si="2"/>
        <v>23</v>
      </c>
      <c r="E49" s="51">
        <v>997.5</v>
      </c>
      <c r="F49" s="52">
        <f t="shared" si="1"/>
        <v>1.004E-6</v>
      </c>
      <c r="G49" s="55">
        <v>1.004</v>
      </c>
    </row>
    <row r="50" spans="4:7" x14ac:dyDescent="0.25">
      <c r="D50" s="54">
        <f t="shared" si="2"/>
        <v>24</v>
      </c>
      <c r="E50" s="51">
        <v>997.2</v>
      </c>
      <c r="F50" s="52">
        <f t="shared" si="1"/>
        <v>1.004E-6</v>
      </c>
      <c r="G50" s="55">
        <v>1.004</v>
      </c>
    </row>
    <row r="51" spans="4:7" x14ac:dyDescent="0.25">
      <c r="D51" s="54">
        <f t="shared" si="2"/>
        <v>25</v>
      </c>
      <c r="E51" s="51">
        <v>997</v>
      </c>
      <c r="F51" s="52">
        <f t="shared" si="1"/>
        <v>8.9299999999999996E-7</v>
      </c>
      <c r="G51" s="56">
        <v>0.89300000000000002</v>
      </c>
    </row>
    <row r="52" spans="4:7" x14ac:dyDescent="0.25">
      <c r="D52" s="54">
        <f t="shared" si="2"/>
        <v>26</v>
      </c>
      <c r="E52" s="51">
        <v>996.7</v>
      </c>
      <c r="F52" s="52">
        <f t="shared" si="1"/>
        <v>8.9299999999999996E-7</v>
      </c>
      <c r="G52" s="55">
        <v>0.89300000000000002</v>
      </c>
    </row>
    <row r="53" spans="4:7" x14ac:dyDescent="0.25">
      <c r="D53" s="54">
        <f t="shared" si="2"/>
        <v>27</v>
      </c>
      <c r="E53" s="51">
        <v>996.4</v>
      </c>
      <c r="F53" s="52">
        <f t="shared" si="1"/>
        <v>8.9299999999999996E-7</v>
      </c>
      <c r="G53" s="55">
        <v>0.89300000000000002</v>
      </c>
    </row>
    <row r="54" spans="4:7" x14ac:dyDescent="0.25">
      <c r="D54" s="54">
        <f t="shared" si="2"/>
        <v>28</v>
      </c>
      <c r="E54" s="51">
        <v>996.1</v>
      </c>
      <c r="F54" s="52">
        <f t="shared" si="1"/>
        <v>8.9299999999999996E-7</v>
      </c>
      <c r="G54" s="55">
        <v>0.89300000000000002</v>
      </c>
    </row>
    <row r="55" spans="4:7" x14ac:dyDescent="0.25">
      <c r="D55" s="54">
        <f t="shared" si="2"/>
        <v>29</v>
      </c>
      <c r="E55" s="51">
        <v>995.8</v>
      </c>
      <c r="F55" s="52">
        <f t="shared" si="1"/>
        <v>8.9299999999999996E-7</v>
      </c>
      <c r="G55" s="55">
        <v>0.89300000000000002</v>
      </c>
    </row>
    <row r="56" spans="4:7" x14ac:dyDescent="0.25">
      <c r="D56" s="54">
        <f t="shared" si="2"/>
        <v>30</v>
      </c>
      <c r="E56" s="51">
        <v>995.6</v>
      </c>
      <c r="F56" s="52">
        <f t="shared" si="1"/>
        <v>8.0100000000000004E-7</v>
      </c>
      <c r="G56" s="56">
        <v>0.80100000000000005</v>
      </c>
    </row>
    <row r="57" spans="4:7" x14ac:dyDescent="0.25">
      <c r="D57" s="54">
        <f t="shared" si="2"/>
        <v>31</v>
      </c>
      <c r="E57" s="51">
        <v>995.2</v>
      </c>
      <c r="F57" s="52">
        <f t="shared" si="1"/>
        <v>8.0100000000000004E-7</v>
      </c>
      <c r="G57" s="55">
        <v>0.80100000000000005</v>
      </c>
    </row>
    <row r="58" spans="4:7" x14ac:dyDescent="0.25">
      <c r="D58" s="54">
        <f t="shared" si="2"/>
        <v>32</v>
      </c>
      <c r="E58" s="51">
        <v>994.9</v>
      </c>
      <c r="F58" s="52">
        <f t="shared" si="1"/>
        <v>8.0100000000000004E-7</v>
      </c>
      <c r="G58" s="55">
        <v>0.80100000000000005</v>
      </c>
    </row>
    <row r="59" spans="4:7" x14ac:dyDescent="0.25">
      <c r="D59" s="54">
        <f t="shared" si="2"/>
        <v>33</v>
      </c>
      <c r="E59" s="51">
        <v>994.6</v>
      </c>
      <c r="F59" s="52">
        <f t="shared" si="1"/>
        <v>8.0100000000000004E-7</v>
      </c>
      <c r="G59" s="55">
        <v>0.80100000000000005</v>
      </c>
    </row>
    <row r="60" spans="4:7" x14ac:dyDescent="0.25">
      <c r="D60" s="54">
        <f t="shared" si="2"/>
        <v>34</v>
      </c>
      <c r="E60" s="51">
        <v>994.2</v>
      </c>
      <c r="F60" s="52">
        <f t="shared" si="1"/>
        <v>8.0100000000000004E-7</v>
      </c>
      <c r="G60" s="55">
        <v>0.80100000000000005</v>
      </c>
    </row>
    <row r="61" spans="4:7" x14ac:dyDescent="0.25">
      <c r="D61" s="54">
        <f t="shared" si="2"/>
        <v>35</v>
      </c>
      <c r="E61" s="51">
        <v>993.9</v>
      </c>
      <c r="F61" s="52">
        <f t="shared" si="1"/>
        <v>7.2399999999999997E-7</v>
      </c>
      <c r="G61" s="56">
        <v>0.72399999999999998</v>
      </c>
    </row>
    <row r="62" spans="4:7" x14ac:dyDescent="0.25">
      <c r="D62" s="54">
        <f t="shared" si="2"/>
        <v>36</v>
      </c>
      <c r="E62" s="51">
        <v>993.5</v>
      </c>
      <c r="F62" s="52">
        <f t="shared" si="1"/>
        <v>7.2399999999999997E-7</v>
      </c>
      <c r="G62" s="55">
        <v>0.72399999999999998</v>
      </c>
    </row>
    <row r="63" spans="4:7" x14ac:dyDescent="0.25">
      <c r="D63" s="54">
        <f t="shared" si="2"/>
        <v>37</v>
      </c>
      <c r="E63" s="51">
        <v>993.2</v>
      </c>
      <c r="F63" s="52">
        <f t="shared" si="1"/>
        <v>7.2399999999999997E-7</v>
      </c>
      <c r="G63" s="55">
        <v>0.72399999999999998</v>
      </c>
    </row>
    <row r="64" spans="4:7" x14ac:dyDescent="0.25">
      <c r="D64" s="54">
        <f t="shared" si="2"/>
        <v>38</v>
      </c>
      <c r="E64" s="51">
        <v>992.9</v>
      </c>
      <c r="F64" s="52">
        <f t="shared" si="1"/>
        <v>7.2399999999999997E-7</v>
      </c>
      <c r="G64" s="55">
        <v>0.72399999999999998</v>
      </c>
    </row>
    <row r="65" spans="4:7" x14ac:dyDescent="0.25">
      <c r="D65" s="54">
        <f t="shared" si="2"/>
        <v>39</v>
      </c>
      <c r="E65" s="51">
        <v>992.6</v>
      </c>
      <c r="F65" s="52">
        <f t="shared" si="1"/>
        <v>7.2399999999999997E-7</v>
      </c>
      <c r="G65" s="55">
        <v>0.72399999999999998</v>
      </c>
    </row>
    <row r="66" spans="4:7" x14ac:dyDescent="0.25">
      <c r="D66" s="54">
        <f t="shared" si="2"/>
        <v>40</v>
      </c>
      <c r="E66" s="51">
        <v>992.2</v>
      </c>
      <c r="F66" s="52">
        <f t="shared" si="1"/>
        <v>6.5799999999999999E-7</v>
      </c>
      <c r="G66" s="56">
        <v>0.65800000000000003</v>
      </c>
    </row>
    <row r="67" spans="4:7" x14ac:dyDescent="0.25">
      <c r="D67" s="54">
        <f t="shared" si="2"/>
        <v>41</v>
      </c>
      <c r="E67" s="51">
        <v>991.8</v>
      </c>
      <c r="F67" s="52">
        <f t="shared" si="1"/>
        <v>6.5799999999999999E-7</v>
      </c>
      <c r="G67" s="55">
        <v>0.65800000000000003</v>
      </c>
    </row>
    <row r="68" spans="4:7" x14ac:dyDescent="0.25">
      <c r="D68" s="54">
        <f t="shared" si="2"/>
        <v>42</v>
      </c>
      <c r="E68" s="51">
        <v>991.4</v>
      </c>
      <c r="F68" s="52">
        <f t="shared" si="1"/>
        <v>6.5799999999999999E-7</v>
      </c>
      <c r="G68" s="55">
        <v>0.65800000000000003</v>
      </c>
    </row>
    <row r="69" spans="4:7" x14ac:dyDescent="0.25">
      <c r="D69" s="54">
        <f t="shared" si="2"/>
        <v>43</v>
      </c>
      <c r="E69" s="51">
        <v>991</v>
      </c>
      <c r="F69" s="52">
        <f t="shared" si="1"/>
        <v>6.5799999999999999E-7</v>
      </c>
      <c r="G69" s="55">
        <v>0.65800000000000003</v>
      </c>
    </row>
    <row r="70" spans="4:7" x14ac:dyDescent="0.25">
      <c r="D70" s="54">
        <f t="shared" si="2"/>
        <v>44</v>
      </c>
      <c r="E70" s="51">
        <v>990.6</v>
      </c>
      <c r="F70" s="52">
        <f t="shared" si="1"/>
        <v>6.5799999999999999E-7</v>
      </c>
      <c r="G70" s="55">
        <v>0.65800000000000003</v>
      </c>
    </row>
    <row r="71" spans="4:7" x14ac:dyDescent="0.25">
      <c r="D71" s="54">
        <f t="shared" si="2"/>
        <v>45</v>
      </c>
      <c r="E71" s="51">
        <v>990.2</v>
      </c>
      <c r="F71" s="52">
        <f t="shared" si="1"/>
        <v>6.0199999999999991E-7</v>
      </c>
      <c r="G71" s="56">
        <v>0.60199999999999998</v>
      </c>
    </row>
    <row r="72" spans="4:7" x14ac:dyDescent="0.25">
      <c r="D72" s="54">
        <f t="shared" si="2"/>
        <v>46</v>
      </c>
      <c r="E72" s="51">
        <v>989.8</v>
      </c>
      <c r="F72" s="52">
        <f t="shared" si="1"/>
        <v>6.0199999999999991E-7</v>
      </c>
      <c r="G72" s="55">
        <v>0.60199999999999998</v>
      </c>
    </row>
    <row r="73" spans="4:7" x14ac:dyDescent="0.25">
      <c r="D73" s="54">
        <f t="shared" si="2"/>
        <v>47</v>
      </c>
      <c r="E73" s="51">
        <v>989.3</v>
      </c>
      <c r="F73" s="52">
        <f t="shared" si="1"/>
        <v>6.0199999999999991E-7</v>
      </c>
      <c r="G73" s="55">
        <v>0.60199999999999998</v>
      </c>
    </row>
    <row r="74" spans="4:7" x14ac:dyDescent="0.25">
      <c r="D74" s="54">
        <f t="shared" si="2"/>
        <v>48</v>
      </c>
      <c r="E74" s="51">
        <v>988.9</v>
      </c>
      <c r="F74" s="52">
        <f t="shared" si="1"/>
        <v>6.0199999999999991E-7</v>
      </c>
      <c r="G74" s="55">
        <v>0.60199999999999998</v>
      </c>
    </row>
    <row r="75" spans="4:7" x14ac:dyDescent="0.25">
      <c r="D75" s="54">
        <f t="shared" si="2"/>
        <v>49</v>
      </c>
      <c r="E75" s="51">
        <v>988.5</v>
      </c>
      <c r="F75" s="52">
        <f t="shared" si="1"/>
        <v>6.0199999999999991E-7</v>
      </c>
      <c r="G75" s="55">
        <v>0.60199999999999998</v>
      </c>
    </row>
    <row r="76" spans="4:7" x14ac:dyDescent="0.25">
      <c r="D76" s="54">
        <f t="shared" si="2"/>
        <v>50</v>
      </c>
      <c r="E76" s="51">
        <v>988</v>
      </c>
      <c r="F76" s="52">
        <f t="shared" si="1"/>
        <v>5.5400000000000001E-7</v>
      </c>
      <c r="G76" s="56">
        <v>0.55400000000000005</v>
      </c>
    </row>
    <row r="77" spans="4:7" x14ac:dyDescent="0.25">
      <c r="D77" s="54">
        <f t="shared" si="2"/>
        <v>51</v>
      </c>
      <c r="E77" s="51">
        <v>987.7</v>
      </c>
      <c r="F77" s="52">
        <f t="shared" si="1"/>
        <v>5.5400000000000001E-7</v>
      </c>
      <c r="G77" s="55">
        <v>0.55400000000000005</v>
      </c>
    </row>
    <row r="78" spans="4:7" x14ac:dyDescent="0.25">
      <c r="D78" s="54">
        <f t="shared" si="2"/>
        <v>52</v>
      </c>
      <c r="E78" s="51">
        <v>987.2</v>
      </c>
      <c r="F78" s="52">
        <f t="shared" si="1"/>
        <v>5.5400000000000001E-7</v>
      </c>
      <c r="G78" s="55">
        <v>0.55400000000000005</v>
      </c>
    </row>
    <row r="79" spans="4:7" x14ac:dyDescent="0.25">
      <c r="D79" s="54">
        <f t="shared" si="2"/>
        <v>53</v>
      </c>
      <c r="E79" s="51">
        <v>986.7</v>
      </c>
      <c r="F79" s="52">
        <f t="shared" si="1"/>
        <v>5.5400000000000001E-7</v>
      </c>
      <c r="G79" s="55">
        <v>0.55400000000000005</v>
      </c>
    </row>
    <row r="80" spans="4:7" x14ac:dyDescent="0.25">
      <c r="D80" s="54">
        <f t="shared" si="2"/>
        <v>54</v>
      </c>
      <c r="E80" s="51">
        <v>986.2</v>
      </c>
      <c r="F80" s="52">
        <f t="shared" si="1"/>
        <v>5.5400000000000001E-7</v>
      </c>
      <c r="G80" s="55">
        <v>0.55400000000000005</v>
      </c>
    </row>
    <row r="81" spans="4:7" x14ac:dyDescent="0.25">
      <c r="D81" s="54">
        <f t="shared" si="2"/>
        <v>55</v>
      </c>
      <c r="E81" s="51">
        <v>985.7</v>
      </c>
      <c r="F81" s="52">
        <f t="shared" si="1"/>
        <v>5.1200000000000003E-7</v>
      </c>
      <c r="G81" s="56">
        <v>0.51200000000000001</v>
      </c>
    </row>
    <row r="82" spans="4:7" x14ac:dyDescent="0.25">
      <c r="D82" s="54">
        <f t="shared" si="2"/>
        <v>56</v>
      </c>
      <c r="E82" s="51">
        <v>985.2</v>
      </c>
      <c r="F82" s="52">
        <f t="shared" si="1"/>
        <v>5.1200000000000003E-7</v>
      </c>
      <c r="G82" s="55">
        <v>0.51200000000000001</v>
      </c>
    </row>
    <row r="83" spans="4:7" x14ac:dyDescent="0.25">
      <c r="D83" s="54">
        <f t="shared" si="2"/>
        <v>57</v>
      </c>
      <c r="E83" s="51">
        <v>984.7</v>
      </c>
      <c r="F83" s="52">
        <f t="shared" si="1"/>
        <v>5.1200000000000003E-7</v>
      </c>
      <c r="G83" s="55">
        <v>0.51200000000000001</v>
      </c>
    </row>
    <row r="84" spans="4:7" x14ac:dyDescent="0.25">
      <c r="D84" s="54">
        <f t="shared" si="2"/>
        <v>58</v>
      </c>
      <c r="E84" s="51">
        <v>984.3</v>
      </c>
      <c r="F84" s="52">
        <f t="shared" si="1"/>
        <v>5.1200000000000003E-7</v>
      </c>
      <c r="G84" s="55">
        <v>0.51200000000000001</v>
      </c>
    </row>
    <row r="85" spans="4:7" x14ac:dyDescent="0.25">
      <c r="D85" s="54">
        <f t="shared" si="2"/>
        <v>59</v>
      </c>
      <c r="E85" s="51">
        <v>983.7</v>
      </c>
      <c r="F85" s="52">
        <f t="shared" si="1"/>
        <v>5.1200000000000003E-7</v>
      </c>
      <c r="G85" s="55">
        <v>0.51200000000000001</v>
      </c>
    </row>
    <row r="86" spans="4:7" x14ac:dyDescent="0.25">
      <c r="D86" s="54">
        <f t="shared" si="2"/>
        <v>60</v>
      </c>
      <c r="E86" s="51">
        <v>983.2</v>
      </c>
      <c r="F86" s="52">
        <f t="shared" si="1"/>
        <v>4.7499999999999995E-7</v>
      </c>
      <c r="G86" s="56">
        <v>0.47499999999999998</v>
      </c>
    </row>
    <row r="87" spans="4:7" x14ac:dyDescent="0.25">
      <c r="D87" s="54">
        <f t="shared" si="2"/>
        <v>61</v>
      </c>
      <c r="E87" s="51">
        <v>982.6</v>
      </c>
      <c r="F87" s="52">
        <f t="shared" si="1"/>
        <v>4.7499999999999995E-7</v>
      </c>
      <c r="G87" s="55">
        <v>0.47499999999999998</v>
      </c>
    </row>
    <row r="88" spans="4:7" x14ac:dyDescent="0.25">
      <c r="D88" s="54">
        <f t="shared" si="2"/>
        <v>62</v>
      </c>
      <c r="E88" s="51">
        <v>982.1</v>
      </c>
      <c r="F88" s="52">
        <f t="shared" si="1"/>
        <v>4.7499999999999995E-7</v>
      </c>
      <c r="G88" s="55">
        <v>0.47499999999999998</v>
      </c>
    </row>
    <row r="89" spans="4:7" x14ac:dyDescent="0.25">
      <c r="D89" s="54">
        <f t="shared" si="2"/>
        <v>63</v>
      </c>
      <c r="E89" s="51">
        <v>981.6</v>
      </c>
      <c r="F89" s="52">
        <f t="shared" si="1"/>
        <v>4.7499999999999995E-7</v>
      </c>
      <c r="G89" s="55">
        <v>0.47499999999999998</v>
      </c>
    </row>
    <row r="90" spans="4:7" x14ac:dyDescent="0.25">
      <c r="D90" s="54">
        <f t="shared" si="2"/>
        <v>64</v>
      </c>
      <c r="E90" s="51">
        <v>981.1</v>
      </c>
      <c r="F90" s="52">
        <f t="shared" si="1"/>
        <v>4.7499999999999995E-7</v>
      </c>
      <c r="G90" s="55">
        <v>0.47499999999999998</v>
      </c>
    </row>
    <row r="91" spans="4:7" x14ac:dyDescent="0.25">
      <c r="D91" s="54">
        <f t="shared" si="2"/>
        <v>65</v>
      </c>
      <c r="E91" s="51">
        <v>980.5</v>
      </c>
      <c r="F91" s="52">
        <f t="shared" ref="F91:F136" si="3">G91*10^-6</f>
        <v>4.4199999999999996E-7</v>
      </c>
      <c r="G91" s="56">
        <v>0.442</v>
      </c>
    </row>
    <row r="92" spans="4:7" x14ac:dyDescent="0.25">
      <c r="D92" s="54">
        <f t="shared" si="2"/>
        <v>66</v>
      </c>
      <c r="E92" s="51">
        <v>980</v>
      </c>
      <c r="F92" s="52">
        <f t="shared" si="3"/>
        <v>4.4199999999999996E-7</v>
      </c>
      <c r="G92" s="55">
        <v>0.442</v>
      </c>
    </row>
    <row r="93" spans="4:7" x14ac:dyDescent="0.25">
      <c r="D93" s="54">
        <f t="shared" ref="D93:D126" si="4">D92+1</f>
        <v>67</v>
      </c>
      <c r="E93" s="51">
        <v>979.4</v>
      </c>
      <c r="F93" s="52">
        <f t="shared" si="3"/>
        <v>4.4199999999999996E-7</v>
      </c>
      <c r="G93" s="55">
        <v>0.442</v>
      </c>
    </row>
    <row r="94" spans="4:7" x14ac:dyDescent="0.25">
      <c r="D94" s="54">
        <f t="shared" si="4"/>
        <v>68</v>
      </c>
      <c r="E94" s="51">
        <v>978.8</v>
      </c>
      <c r="F94" s="52">
        <f t="shared" si="3"/>
        <v>4.4199999999999996E-7</v>
      </c>
      <c r="G94" s="55">
        <v>0.442</v>
      </c>
    </row>
    <row r="95" spans="4:7" x14ac:dyDescent="0.25">
      <c r="D95" s="54">
        <f t="shared" si="4"/>
        <v>69</v>
      </c>
      <c r="E95" s="51">
        <v>978.3</v>
      </c>
      <c r="F95" s="52">
        <f t="shared" si="3"/>
        <v>4.4199999999999996E-7</v>
      </c>
      <c r="G95" s="55">
        <v>0.442</v>
      </c>
    </row>
    <row r="96" spans="4:7" x14ac:dyDescent="0.25">
      <c r="D96" s="54">
        <f t="shared" si="4"/>
        <v>70</v>
      </c>
      <c r="E96" s="51">
        <v>977.7</v>
      </c>
      <c r="F96" s="52">
        <f t="shared" si="3"/>
        <v>4.1299999999999995E-7</v>
      </c>
      <c r="G96" s="56">
        <v>0.41299999999999998</v>
      </c>
    </row>
    <row r="97" spans="4:7" x14ac:dyDescent="0.25">
      <c r="D97" s="54">
        <f t="shared" si="4"/>
        <v>71</v>
      </c>
      <c r="E97" s="51">
        <v>977.1</v>
      </c>
      <c r="F97" s="52">
        <f t="shared" si="3"/>
        <v>4.1299999999999995E-7</v>
      </c>
      <c r="G97" s="55">
        <v>0.41299999999999998</v>
      </c>
    </row>
    <row r="98" spans="4:7" x14ac:dyDescent="0.25">
      <c r="D98" s="54">
        <f t="shared" si="4"/>
        <v>72</v>
      </c>
      <c r="E98" s="51">
        <v>976.6</v>
      </c>
      <c r="F98" s="52">
        <f t="shared" si="3"/>
        <v>4.1299999999999995E-7</v>
      </c>
      <c r="G98" s="55">
        <v>0.41299999999999998</v>
      </c>
    </row>
    <row r="99" spans="4:7" x14ac:dyDescent="0.25">
      <c r="D99" s="54">
        <f t="shared" si="4"/>
        <v>73</v>
      </c>
      <c r="E99" s="51">
        <v>976</v>
      </c>
      <c r="F99" s="52">
        <f t="shared" si="3"/>
        <v>4.1299999999999995E-7</v>
      </c>
      <c r="G99" s="55">
        <v>0.41299999999999998</v>
      </c>
    </row>
    <row r="100" spans="4:7" x14ac:dyDescent="0.25">
      <c r="D100" s="54">
        <f t="shared" si="4"/>
        <v>74</v>
      </c>
      <c r="E100" s="51">
        <v>975.4</v>
      </c>
      <c r="F100" s="52">
        <f t="shared" si="3"/>
        <v>4.1299999999999995E-7</v>
      </c>
      <c r="G100" s="55">
        <v>0.41299999999999998</v>
      </c>
    </row>
    <row r="101" spans="4:7" x14ac:dyDescent="0.25">
      <c r="D101" s="54">
        <f t="shared" si="4"/>
        <v>75</v>
      </c>
      <c r="E101" s="51">
        <v>974.8</v>
      </c>
      <c r="F101" s="52">
        <f t="shared" si="3"/>
        <v>3.8799999999999998E-7</v>
      </c>
      <c r="G101" s="56">
        <v>0.38800000000000001</v>
      </c>
    </row>
    <row r="102" spans="4:7" x14ac:dyDescent="0.25">
      <c r="D102" s="54">
        <f t="shared" si="4"/>
        <v>76</v>
      </c>
      <c r="E102" s="51">
        <v>974.3</v>
      </c>
      <c r="F102" s="52">
        <f t="shared" si="3"/>
        <v>3.8799999999999998E-7</v>
      </c>
      <c r="G102" s="55">
        <v>0.38800000000000001</v>
      </c>
    </row>
    <row r="103" spans="4:7" x14ac:dyDescent="0.25">
      <c r="D103" s="54">
        <f t="shared" si="4"/>
        <v>77</v>
      </c>
      <c r="E103" s="51">
        <v>973.7</v>
      </c>
      <c r="F103" s="52">
        <f t="shared" si="3"/>
        <v>3.8799999999999998E-7</v>
      </c>
      <c r="G103" s="55">
        <v>0.38800000000000001</v>
      </c>
    </row>
    <row r="104" spans="4:7" x14ac:dyDescent="0.25">
      <c r="D104" s="54">
        <f t="shared" si="4"/>
        <v>78</v>
      </c>
      <c r="E104" s="51">
        <v>973</v>
      </c>
      <c r="F104" s="52">
        <f t="shared" si="3"/>
        <v>3.8799999999999998E-7</v>
      </c>
      <c r="G104" s="55">
        <v>0.38800000000000001</v>
      </c>
    </row>
    <row r="105" spans="4:7" x14ac:dyDescent="0.25">
      <c r="D105" s="54">
        <f t="shared" si="4"/>
        <v>79</v>
      </c>
      <c r="E105" s="51">
        <v>972.5</v>
      </c>
      <c r="F105" s="52">
        <f t="shared" si="3"/>
        <v>3.8799999999999998E-7</v>
      </c>
      <c r="G105" s="55">
        <v>0.38800000000000001</v>
      </c>
    </row>
    <row r="106" spans="4:7" x14ac:dyDescent="0.25">
      <c r="D106" s="54">
        <f t="shared" si="4"/>
        <v>80</v>
      </c>
      <c r="E106" s="51">
        <v>971.8</v>
      </c>
      <c r="F106" s="52">
        <f t="shared" si="3"/>
        <v>3.65E-7</v>
      </c>
      <c r="G106" s="56">
        <v>0.36499999999999999</v>
      </c>
    </row>
    <row r="107" spans="4:7" x14ac:dyDescent="0.25">
      <c r="D107" s="54">
        <f t="shared" si="4"/>
        <v>81</v>
      </c>
      <c r="E107" s="51">
        <v>971.3</v>
      </c>
      <c r="F107" s="52">
        <f t="shared" si="3"/>
        <v>3.65E-7</v>
      </c>
      <c r="G107" s="55">
        <v>0.36499999999999999</v>
      </c>
    </row>
    <row r="108" spans="4:7" x14ac:dyDescent="0.25">
      <c r="D108" s="54">
        <f t="shared" si="4"/>
        <v>82</v>
      </c>
      <c r="E108" s="51">
        <v>970.6</v>
      </c>
      <c r="F108" s="52">
        <f t="shared" si="3"/>
        <v>3.65E-7</v>
      </c>
      <c r="G108" s="55">
        <v>0.36499999999999999</v>
      </c>
    </row>
    <row r="109" spans="4:7" x14ac:dyDescent="0.25">
      <c r="D109" s="54">
        <f t="shared" si="4"/>
        <v>83</v>
      </c>
      <c r="E109" s="51">
        <v>969.9</v>
      </c>
      <c r="F109" s="52">
        <f t="shared" si="3"/>
        <v>3.65E-7</v>
      </c>
      <c r="G109" s="55">
        <v>0.36499999999999999</v>
      </c>
    </row>
    <row r="110" spans="4:7" x14ac:dyDescent="0.25">
      <c r="D110" s="54">
        <f t="shared" si="4"/>
        <v>84</v>
      </c>
      <c r="E110" s="51">
        <v>969.4</v>
      </c>
      <c r="F110" s="52">
        <f t="shared" si="3"/>
        <v>3.65E-7</v>
      </c>
      <c r="G110" s="55">
        <v>0.36499999999999999</v>
      </c>
    </row>
    <row r="111" spans="4:7" x14ac:dyDescent="0.25">
      <c r="D111" s="54">
        <f t="shared" si="4"/>
        <v>85</v>
      </c>
      <c r="E111" s="51">
        <v>968.7</v>
      </c>
      <c r="F111" s="52">
        <f t="shared" si="3"/>
        <v>3.4399999999999996E-7</v>
      </c>
      <c r="G111" s="56">
        <v>0.34399999999999997</v>
      </c>
    </row>
    <row r="112" spans="4:7" x14ac:dyDescent="0.25">
      <c r="D112" s="54">
        <f t="shared" si="4"/>
        <v>86</v>
      </c>
      <c r="E112" s="51">
        <v>968.1</v>
      </c>
      <c r="F112" s="52">
        <f t="shared" si="3"/>
        <v>3.4399999999999996E-7</v>
      </c>
      <c r="G112" s="55">
        <v>0.34399999999999997</v>
      </c>
    </row>
    <row r="113" spans="4:7" x14ac:dyDescent="0.25">
      <c r="D113" s="54">
        <f t="shared" si="4"/>
        <v>87</v>
      </c>
      <c r="E113" s="51">
        <v>967.4</v>
      </c>
      <c r="F113" s="52">
        <f t="shared" si="3"/>
        <v>3.4399999999999996E-7</v>
      </c>
      <c r="G113" s="55">
        <v>0.34399999999999997</v>
      </c>
    </row>
    <row r="114" spans="4:7" x14ac:dyDescent="0.25">
      <c r="D114" s="54">
        <f t="shared" si="4"/>
        <v>88</v>
      </c>
      <c r="E114" s="51">
        <v>966.7</v>
      </c>
      <c r="F114" s="52">
        <f t="shared" si="3"/>
        <v>3.4399999999999996E-7</v>
      </c>
      <c r="G114" s="55">
        <v>0.34399999999999997</v>
      </c>
    </row>
    <row r="115" spans="4:7" x14ac:dyDescent="0.25">
      <c r="D115" s="54">
        <f t="shared" si="4"/>
        <v>89</v>
      </c>
      <c r="E115" s="51">
        <v>966</v>
      </c>
      <c r="F115" s="52">
        <f t="shared" si="3"/>
        <v>3.4399999999999996E-7</v>
      </c>
      <c r="G115" s="55">
        <v>0.34399999999999997</v>
      </c>
    </row>
    <row r="116" spans="4:7" x14ac:dyDescent="0.25">
      <c r="D116" s="54">
        <f t="shared" si="4"/>
        <v>90</v>
      </c>
      <c r="E116" s="51">
        <v>965.3</v>
      </c>
      <c r="F116" s="52">
        <f t="shared" si="3"/>
        <v>3.2599999999999998E-7</v>
      </c>
      <c r="G116" s="56">
        <v>0.32600000000000001</v>
      </c>
    </row>
    <row r="117" spans="4:7" x14ac:dyDescent="0.25">
      <c r="D117" s="54">
        <f t="shared" si="4"/>
        <v>91</v>
      </c>
      <c r="E117" s="51">
        <v>964.7</v>
      </c>
      <c r="F117" s="52">
        <f t="shared" si="3"/>
        <v>3.2599999999999998E-7</v>
      </c>
      <c r="G117" s="55">
        <v>0.32600000000000001</v>
      </c>
    </row>
    <row r="118" spans="4:7" x14ac:dyDescent="0.25">
      <c r="D118" s="54">
        <f t="shared" si="4"/>
        <v>92</v>
      </c>
      <c r="E118" s="51">
        <v>964</v>
      </c>
      <c r="F118" s="52">
        <f t="shared" si="3"/>
        <v>3.2599999999999998E-7</v>
      </c>
      <c r="G118" s="55">
        <v>0.32600000000000001</v>
      </c>
    </row>
    <row r="119" spans="4:7" x14ac:dyDescent="0.25">
      <c r="D119" s="54">
        <f t="shared" si="4"/>
        <v>93</v>
      </c>
      <c r="E119" s="51">
        <v>963.3</v>
      </c>
      <c r="F119" s="52">
        <f t="shared" si="3"/>
        <v>3.2599999999999998E-7</v>
      </c>
      <c r="G119" s="55">
        <v>0.32600000000000001</v>
      </c>
    </row>
    <row r="120" spans="4:7" x14ac:dyDescent="0.25">
      <c r="D120" s="54">
        <f t="shared" si="4"/>
        <v>94</v>
      </c>
      <c r="E120" s="51">
        <v>962.6</v>
      </c>
      <c r="F120" s="52">
        <f t="shared" si="3"/>
        <v>3.2599999999999998E-7</v>
      </c>
      <c r="G120" s="55">
        <v>0.32600000000000001</v>
      </c>
    </row>
    <row r="121" spans="4:7" x14ac:dyDescent="0.25">
      <c r="D121" s="54">
        <f t="shared" si="4"/>
        <v>95</v>
      </c>
      <c r="E121" s="51">
        <v>961.9</v>
      </c>
      <c r="F121" s="52">
        <f t="shared" si="3"/>
        <v>3.0899999999999997E-7</v>
      </c>
      <c r="G121" s="56">
        <v>0.309</v>
      </c>
    </row>
    <row r="122" spans="4:7" x14ac:dyDescent="0.25">
      <c r="D122" s="54">
        <f t="shared" si="4"/>
        <v>96</v>
      </c>
      <c r="E122" s="51">
        <v>961.2</v>
      </c>
      <c r="F122" s="52">
        <f t="shared" si="3"/>
        <v>3.0899999999999997E-7</v>
      </c>
      <c r="G122" s="55">
        <v>0.309</v>
      </c>
    </row>
    <row r="123" spans="4:7" x14ac:dyDescent="0.25">
      <c r="D123" s="54">
        <f t="shared" si="4"/>
        <v>97</v>
      </c>
      <c r="E123" s="51">
        <v>960.4</v>
      </c>
      <c r="F123" s="52">
        <f t="shared" si="3"/>
        <v>3.0899999999999997E-7</v>
      </c>
      <c r="G123" s="55">
        <v>0.309</v>
      </c>
    </row>
    <row r="124" spans="4:7" x14ac:dyDescent="0.25">
      <c r="D124" s="54">
        <f t="shared" si="4"/>
        <v>98</v>
      </c>
      <c r="E124" s="51">
        <v>959.8</v>
      </c>
      <c r="F124" s="52">
        <f t="shared" si="3"/>
        <v>3.0899999999999997E-7</v>
      </c>
      <c r="G124" s="55">
        <v>0.309</v>
      </c>
    </row>
    <row r="125" spans="4:7" x14ac:dyDescent="0.25">
      <c r="D125" s="54">
        <f t="shared" si="4"/>
        <v>99</v>
      </c>
      <c r="E125" s="51">
        <v>959</v>
      </c>
      <c r="F125" s="52">
        <f t="shared" si="3"/>
        <v>3.0899999999999997E-7</v>
      </c>
      <c r="G125" s="55">
        <v>0.309</v>
      </c>
    </row>
    <row r="126" spans="4:7" x14ac:dyDescent="0.25">
      <c r="D126" s="54">
        <f t="shared" si="4"/>
        <v>100</v>
      </c>
      <c r="E126" s="51">
        <v>958.3</v>
      </c>
      <c r="F126" s="52">
        <f t="shared" si="3"/>
        <v>2.9499999999999998E-7</v>
      </c>
      <c r="G126" s="56">
        <v>0.29499999999999998</v>
      </c>
    </row>
    <row r="127" spans="4:7" x14ac:dyDescent="0.25">
      <c r="D127" s="54">
        <v>102</v>
      </c>
      <c r="E127" s="51">
        <v>956.8</v>
      </c>
      <c r="F127" s="52">
        <f t="shared" si="3"/>
        <v>2.9499999999999998E-7</v>
      </c>
      <c r="G127" s="55">
        <v>0.29499999999999998</v>
      </c>
    </row>
    <row r="128" spans="4:7" x14ac:dyDescent="0.25">
      <c r="D128" s="54">
        <v>104</v>
      </c>
      <c r="E128" s="51">
        <v>955.5</v>
      </c>
      <c r="F128" s="52">
        <f t="shared" si="3"/>
        <v>2.9499999999999998E-7</v>
      </c>
      <c r="G128" s="55">
        <v>0.29499999999999998</v>
      </c>
    </row>
    <row r="129" spans="4:7" x14ac:dyDescent="0.25">
      <c r="D129" s="54">
        <v>106</v>
      </c>
      <c r="E129" s="51">
        <v>954</v>
      </c>
      <c r="F129" s="52">
        <f t="shared" si="3"/>
        <v>2.9499999999999998E-7</v>
      </c>
      <c r="G129" s="55">
        <v>0.29499999999999998</v>
      </c>
    </row>
    <row r="130" spans="4:7" x14ac:dyDescent="0.25">
      <c r="D130" s="54">
        <v>108</v>
      </c>
      <c r="E130" s="51">
        <v>952.6</v>
      </c>
      <c r="F130" s="52">
        <f t="shared" si="3"/>
        <v>2.9499999999999998E-7</v>
      </c>
      <c r="G130" s="55">
        <v>0.29499999999999998</v>
      </c>
    </row>
    <row r="131" spans="4:7" x14ac:dyDescent="0.25">
      <c r="D131" s="54">
        <v>110</v>
      </c>
      <c r="E131" s="51">
        <v>951</v>
      </c>
      <c r="F131" s="52">
        <f t="shared" si="3"/>
        <v>2.9499999999999998E-7</v>
      </c>
      <c r="G131" s="55">
        <v>0.29499999999999998</v>
      </c>
    </row>
    <row r="132" spans="4:7" x14ac:dyDescent="0.25">
      <c r="D132" s="54">
        <v>112</v>
      </c>
      <c r="E132" s="51">
        <v>949.6</v>
      </c>
      <c r="F132" s="52">
        <f t="shared" si="3"/>
        <v>2.9499999999999998E-7</v>
      </c>
      <c r="G132" s="55">
        <v>0.29499999999999998</v>
      </c>
    </row>
    <row r="133" spans="4:7" x14ac:dyDescent="0.25">
      <c r="D133" s="54">
        <v>114</v>
      </c>
      <c r="E133" s="51">
        <v>948</v>
      </c>
      <c r="F133" s="52">
        <f t="shared" si="3"/>
        <v>2.9499999999999998E-7</v>
      </c>
      <c r="G133" s="55">
        <v>0.29499999999999998</v>
      </c>
    </row>
    <row r="134" spans="4:7" x14ac:dyDescent="0.25">
      <c r="D134" s="54">
        <v>116</v>
      </c>
      <c r="E134" s="51">
        <v>946.4</v>
      </c>
      <c r="F134" s="52">
        <f t="shared" si="3"/>
        <v>2.9499999999999998E-7</v>
      </c>
      <c r="G134" s="55">
        <v>0.29499999999999998</v>
      </c>
    </row>
    <row r="135" spans="4:7" x14ac:dyDescent="0.25">
      <c r="D135" s="54">
        <v>118</v>
      </c>
      <c r="E135" s="51">
        <v>944.8</v>
      </c>
      <c r="F135" s="52">
        <f t="shared" si="3"/>
        <v>2.9499999999999998E-7</v>
      </c>
      <c r="G135" s="55">
        <v>0.29499999999999998</v>
      </c>
    </row>
    <row r="136" spans="4:7" x14ac:dyDescent="0.25">
      <c r="D136" s="60">
        <v>120</v>
      </c>
      <c r="E136" s="61">
        <v>943.1</v>
      </c>
      <c r="F136" s="62">
        <f t="shared" si="3"/>
        <v>2.9499999999999998E-7</v>
      </c>
      <c r="G136" s="63">
        <v>0.29499999999999998</v>
      </c>
    </row>
  </sheetData>
  <sheetProtection algorithmName="SHA-512" hashValue="lMzfUe8pDG4iFOxwp9dKVIqD7/RqbWon75CUsX9vBsnoxuvdtyzxDffYCl61AY3XqiSoaWhb6OmV0Dmd14BzAw==" saltValue="WGwZwXqBxbI3SuGYk+yCow==" spinCount="100000" sheet="1" objects="1" scenarios="1"/>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7</vt:i4>
      </vt:variant>
    </vt:vector>
  </HeadingPairs>
  <TitlesOfParts>
    <vt:vector size="17" baseType="lpstr">
      <vt:lpstr>0</vt:lpstr>
      <vt:lpstr>1</vt:lpstr>
      <vt:lpstr>2</vt:lpstr>
      <vt:lpstr>3</vt:lpstr>
      <vt:lpstr>4</vt:lpstr>
      <vt:lpstr>5</vt:lpstr>
      <vt:lpstr>7</vt:lpstr>
      <vt:lpstr>6</vt:lpstr>
      <vt:lpstr>9</vt:lpstr>
      <vt:lpstr>10</vt:lpstr>
      <vt:lpstr>'0'!Druckbereich</vt:lpstr>
      <vt:lpstr>'1'!Druckbereich</vt:lpstr>
      <vt:lpstr>'2'!Druckbereich</vt:lpstr>
      <vt:lpstr>'1'!Drucktitel</vt:lpstr>
      <vt:lpstr>'2'!Drucktitel</vt:lpstr>
      <vt:lpstr>'2'!rf</vt:lpstr>
      <vt:lpstr>rf</vt:lpstr>
    </vt:vector>
  </TitlesOfParts>
  <Company>KSB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Stibitz, Christian</dc:creator>
  <cp:lastModifiedBy>Stibitz, Christian</cp:lastModifiedBy>
  <cp:lastPrinted>2026-03-13T10:33:30Z</cp:lastPrinted>
  <dcterms:created xsi:type="dcterms:W3CDTF">2023-04-19T09:20:54Z</dcterms:created>
  <dcterms:modified xsi:type="dcterms:W3CDTF">2026-07-28T05:43:11Z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b8d320-7af9-460f-a921-c7b5b0fff1cb_Enabled">
    <vt:lpwstr>true</vt:lpwstr>
  </property>
  <property fmtid="{D5CDD505-2E9C-101B-9397-08002B2CF9AE}" pid="3" name="MSIP_Label_86b8d320-7af9-460f-a921-c7b5b0fff1cb_SetDate">
    <vt:lpwstr>2025-12-01T13:42:45Z</vt:lpwstr>
  </property>
  <property fmtid="{D5CDD505-2E9C-101B-9397-08002B2CF9AE}" pid="4" name="MSIP_Label_86b8d320-7af9-460f-a921-c7b5b0fff1cb_Method">
    <vt:lpwstr>Privileged</vt:lpwstr>
  </property>
  <property fmtid="{D5CDD505-2E9C-101B-9397-08002B2CF9AE}" pid="5" name="MSIP_Label_86b8d320-7af9-460f-a921-c7b5b0fff1cb_Name">
    <vt:lpwstr>Öffentlich</vt:lpwstr>
  </property>
  <property fmtid="{D5CDD505-2E9C-101B-9397-08002B2CF9AE}" pid="6" name="MSIP_Label_86b8d320-7af9-460f-a921-c7b5b0fff1cb_SiteId">
    <vt:lpwstr>b2c216aa-fa15-418e-b330-d975d3188132</vt:lpwstr>
  </property>
  <property fmtid="{D5CDD505-2E9C-101B-9397-08002B2CF9AE}" pid="7" name="MSIP_Label_86b8d320-7af9-460f-a921-c7b5b0fff1cb_ActionId">
    <vt:lpwstr>476a491b-9e9c-4112-8352-f6df65333600</vt:lpwstr>
  </property>
  <property fmtid="{D5CDD505-2E9C-101B-9397-08002B2CF9AE}" pid="8" name="MSIP_Label_86b8d320-7af9-460f-a921-c7b5b0fff1cb_ContentBits">
    <vt:lpwstr>0</vt:lpwstr>
  </property>
  <property fmtid="{D5CDD505-2E9C-101B-9397-08002B2CF9AE}" pid="9" name="MSIP_Label_86b8d320-7af9-460f-a921-c7b5b0fff1cb_Tag">
    <vt:lpwstr>10, 0, 1, 1</vt:lpwstr>
  </property>
</Properties>
</file>