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hidePivotFieldList="1"/>
  <mc:AlternateContent xmlns:mc="http://schemas.openxmlformats.org/markup-compatibility/2006">
    <mc:Choice Requires="x15">
      <x15ac:absPath xmlns:x15ac="http://schemas.microsoft.com/office/spreadsheetml/2010/11/ac" url="C:\Users\gatzale\Documents\daten\DATA\gatzale_old\My Documents\daten\minicompacta\2022\"/>
    </mc:Choice>
  </mc:AlternateContent>
  <workbookProtection workbookAlgorithmName="SHA-512" workbookHashValue="Uk+rnd0zZkl7cv85v68U40zvGm6UggX+1bUywm3wxqDC+zIhsU8lIssFPil0G2ppyY22K9rX7H3nfgcadzyqdw==" workbookSaltValue="uUsdRgddXnRPewmA6BIsTQ==" workbookSpinCount="100000" lockStructure="1"/>
  <bookViews>
    <workbookView xWindow="480" yWindow="630" windowWidth="8820" windowHeight="7110" activeTab="1"/>
  </bookViews>
  <sheets>
    <sheet name="Qm" sheetId="12" r:id="rId1"/>
    <sheet name="Berechnung" sheetId="2" r:id="rId2"/>
    <sheet name="Zubehör" sheetId="6" r:id="rId3"/>
    <sheet name="A_Text" sheetId="19" r:id="rId4"/>
    <sheet name="an" sheetId="1" r:id="rId5"/>
    <sheet name="kalk" sheetId="4" r:id="rId6"/>
    <sheet name="text" sheetId="15" r:id="rId7"/>
    <sheet name="db_zub" sheetId="11" r:id="rId8"/>
  </sheets>
  <externalReferences>
    <externalReference r:id="rId9"/>
    <externalReference r:id="rId10"/>
    <externalReference r:id="rId11"/>
    <externalReference r:id="rId12"/>
    <externalReference r:id="rId13"/>
  </externalReferences>
  <definedNames>
    <definedName name="_dnz2">Zubehör!$E$7</definedName>
    <definedName name="a_text_abm" localSheetId="3">kalk!$AW$161</definedName>
    <definedName name="a_text_abm">kalk!$AW$161</definedName>
    <definedName name="a_text_allg_01" localSheetId="3">kalk!$AN$196</definedName>
    <definedName name="a_text_allg_01">kalk!$AN$196</definedName>
    <definedName name="a_text_allg_02" localSheetId="3">kalk!$AO$196</definedName>
    <definedName name="a_text_allg_02">kalk!$AO$196</definedName>
    <definedName name="a_text_anlart" localSheetId="3">kalk!$AX$161</definedName>
    <definedName name="a_text_anlart">kalk!$AX$161</definedName>
    <definedName name="a_text_ansch_zu">kalk!$BF$161</definedName>
    <definedName name="a_text_dr_an1" localSheetId="3">kalk!$AK$196</definedName>
    <definedName name="a_text_dr_an1">kalk!$AK$196</definedName>
    <definedName name="a_text_dr_an2" localSheetId="3">kalk!$AL$196</definedName>
    <definedName name="a_text_dr_an2">kalk!$AL$196</definedName>
    <definedName name="a_text_druck_bereich">kalk!$AU$161</definedName>
    <definedName name="a_text_entl" localSheetId="3">kalk!$AM$196</definedName>
    <definedName name="a_text_entl">kalk!$AM$196</definedName>
    <definedName name="a_text_gew" localSheetId="3">kalk!$AT$161</definedName>
    <definedName name="a_text_gew">kalk!$AT$161</definedName>
    <definedName name="a_text_h1" localSheetId="3">kalk!$Z$196</definedName>
    <definedName name="a_text_h1">kalk!$Z$196</definedName>
    <definedName name="a_text_h2" localSheetId="3">kalk!$AA$196</definedName>
    <definedName name="a_text_h2">kalk!$AA$196</definedName>
    <definedName name="a_text_h3" localSheetId="3">kalk!$AB$196</definedName>
    <definedName name="a_text_h3">kalk!$AB$196</definedName>
    <definedName name="a_text_h4" localSheetId="3">kalk!$AC$196</definedName>
    <definedName name="a_text_h4">kalk!$AC$196</definedName>
    <definedName name="a_text_h5" localSheetId="3">kalk!$AD$196</definedName>
    <definedName name="a_text_h5">kalk!$AD$196</definedName>
    <definedName name="a_text_h6" localSheetId="3">kalk!$AE$196</definedName>
    <definedName name="a_text_h6">kalk!$AE$196</definedName>
    <definedName name="a_text_h7" localSheetId="3">kalk!$AF$196</definedName>
    <definedName name="a_text_h7">kalk!$AF$196</definedName>
    <definedName name="a_text_hmax" localSheetId="3">kalk!$AQ$161</definedName>
    <definedName name="a_text_hmax">kalk!$AQ$161</definedName>
    <definedName name="a_text_inhalt" localSheetId="3">kalk!$AV$161</definedName>
    <definedName name="a_text_inhalt">kalk!$AV$161</definedName>
    <definedName name="a_text_lrad_wkst" localSheetId="3">kalk!$AZ$161</definedName>
    <definedName name="a_text_lrad_wkst">kalk!$AZ$161</definedName>
    <definedName name="a_text_mitte" localSheetId="3">kalk!$AI$196</definedName>
    <definedName name="a_text_mitte">kalk!$AI$196</definedName>
    <definedName name="a_text_mitte_hor" localSheetId="3">kalk!$AJ$196</definedName>
    <definedName name="a_text_mitte_hor">kalk!$AJ$196</definedName>
    <definedName name="a_text_mot_art" localSheetId="3">kalk!$BC$161</definedName>
    <definedName name="a_text_mot_art">kalk!$BC$161</definedName>
    <definedName name="a_text_netz_ansch" localSheetId="3">kalk!$BE$161</definedName>
    <definedName name="a_text_netz_ansch">kalk!$BE$161</definedName>
    <definedName name="a_text_p1" localSheetId="3">kalk!$AR$161</definedName>
    <definedName name="a_text_p1">kalk!$AR$161</definedName>
    <definedName name="a_text_p2" localSheetId="3">kalk!$AS$161</definedName>
    <definedName name="a_text_p2">kalk!$AS$161</definedName>
    <definedName name="a_text_ppanz" localSheetId="3">kalk!$AY$161</definedName>
    <definedName name="a_text_ppanz">kalk!$AY$161</definedName>
    <definedName name="a_text_qmax" localSheetId="3">kalk!$AP$161</definedName>
    <definedName name="a_text_qmax">kalk!$AP$161</definedName>
    <definedName name="a_text_schneideinr">kalk!$BG$161</definedName>
    <definedName name="a_text_span_art" localSheetId="3">kalk!$BD$161</definedName>
    <definedName name="a_text_span_art">kalk!$BD$161</definedName>
    <definedName name="a_text_v1" localSheetId="3">kalk!$AG$196</definedName>
    <definedName name="a_text_v1">kalk!$AG$196</definedName>
    <definedName name="a_text_v2">kalk!$AH$196</definedName>
    <definedName name="a_text_wd1" localSheetId="3">kalk!$BA$161</definedName>
    <definedName name="a_text_wd1">kalk!$BA$161</definedName>
    <definedName name="a_text_wd2" localSheetId="3">kalk!$BB$161</definedName>
    <definedName name="a_text_wd2">kalk!$BB$161</definedName>
    <definedName name="anl_bez" localSheetId="3">kalk!$E$38</definedName>
    <definedName name="anl_bez">kalk!$E$38</definedName>
    <definedName name="anlage_ermittelt">kalk!$Y$161</definedName>
    <definedName name="anlage_geometrie_anschl">kalk!$Y$168:$AR$195</definedName>
    <definedName name="anlage_idnr_bezeichnug">kalk!$A$96:$D$162</definedName>
    <definedName name="anlage_preis">kalk!$B$96:$C$162</definedName>
    <definedName name="anlage_werkstoff">Berechnung!$D$19</definedName>
    <definedName name="anlagen_art">kalk!$D$36</definedName>
    <definedName name="anlagen_art_duo">Berechnung!$D$21</definedName>
    <definedName name="auswertung_anschluss">kalk!$AM$132:$AM$154</definedName>
    <definedName name="day">kalk!$B$66</definedName>
    <definedName name="dn">Berechnung!$D$15</definedName>
    <definedName name="dn_empf">kalk!$L$52</definedName>
    <definedName name="dn_zub_dnds_st">kalk!$AQ$196</definedName>
    <definedName name="dnds">kalk!$Y$164</definedName>
    <definedName name="dnds_zub_hr_suchverweis">db_zub!$Y$64</definedName>
    <definedName name="dnt">Zubehör!$F$21</definedName>
    <definedName name="dnz">Zubehör!$F$7</definedName>
    <definedName name="_xlnm.Print_Area" localSheetId="3">A_Text!$A$1:$H$118</definedName>
    <definedName name="_xlnm.Print_Area" localSheetId="1">Berechnung!$A$1:$M$47</definedName>
    <definedName name="_xlnm.Print_Area" localSheetId="7">db_zub!$A$1:$L$51</definedName>
    <definedName name="_xlnm.Print_Area" localSheetId="5">kalk!$A$96:$D$134</definedName>
    <definedName name="_xlnm.Print_Area" localSheetId="0">Qm!$A$1:$L$44</definedName>
    <definedName name="_xlnm.Print_Area" localSheetId="2">Zubehör!$A$1:$N$47</definedName>
    <definedName name="Einzel">'[1]Hya Drive'!$H$71</definedName>
    <definedName name="f_1">kalk!$E$77:$E$81</definedName>
    <definedName name="f_2">kalk!$D$88:$D$91</definedName>
    <definedName name="fa">#REF!</definedName>
    <definedName name="faktor" localSheetId="7">db_zub!#REF!</definedName>
    <definedName name="fb">#REF!</definedName>
    <definedName name="fc">#REF!</definedName>
    <definedName name="fd">#REF!</definedName>
    <definedName name="fe">#REF!</definedName>
    <definedName name="fh_geo">Berechnung!$D$9</definedName>
    <definedName name="fh_verl">Berechnung!$D$10</definedName>
    <definedName name="fhoehe" localSheetId="3">Berechnung!$D$11</definedName>
    <definedName name="fhoehe">Berechnung!$D$11</definedName>
    <definedName name="fhoehe_bp_f1">kalk!$G$5</definedName>
    <definedName name="fhoehe_bp_f2">kalk!$G$6</definedName>
    <definedName name="fhoehe_bp_f3">kalk!$G$7</definedName>
    <definedName name="fhoehe_bp_f4">kalk!$G$8</definedName>
    <definedName name="fhoehe_bp_f5">kalk!$G$9</definedName>
    <definedName name="fhoehe_bp_s1">kalk!$G$10</definedName>
    <definedName name="fhoehe_bp_s2">kalk!$G$11</definedName>
    <definedName name="fhoehe_kennl_f1">kalk!$H$5</definedName>
    <definedName name="fhoehe_kennl_f2">kalk!$H$6</definedName>
    <definedName name="fhoehe_kennl_f3">kalk!$H$7</definedName>
    <definedName name="fhoehe_kennl_f4">kalk!$H$8</definedName>
    <definedName name="fhoehe_kennl_f5">kalk!$H$9</definedName>
    <definedName name="fhoehe_kennl_s1">kalk!$H$10</definedName>
    <definedName name="fhoehe_kennl_s2">kalk!$H$11</definedName>
    <definedName name="fmenge">Berechnung!$D$14</definedName>
    <definedName name="fp">#REF!</definedName>
    <definedName name="fq">#REF!</definedName>
    <definedName name="fr">#REF!</definedName>
    <definedName name="fx">#REF!</definedName>
    <definedName name="fx_1">#REF!</definedName>
    <definedName name="fx_2">#REF!</definedName>
    <definedName name="fx_3">#REF!</definedName>
    <definedName name="fx_4">#REF!</definedName>
    <definedName name="fx_5">#REF!</definedName>
    <definedName name="fx_6">#REF!</definedName>
    <definedName name="fx_7">#REF!</definedName>
    <definedName name="fy">#REF!</definedName>
    <definedName name="gültig_bis">kalk!$B$3</definedName>
    <definedName name="HDX">#REF!</definedName>
    <definedName name="hgeo_matrix_060">kalk!$W$14:$Z$16</definedName>
    <definedName name="hgeo_matrix_100">kalk!$X$36:$Z$38</definedName>
    <definedName name="hgeo_max_matrix_u1100">kalk!$X$36:$X$38</definedName>
    <definedName name="hgeo_max_matrix_u1100_hor">kalk!$X$36:$Z$37</definedName>
    <definedName name="hgeo_max_matrix_u160">kalk!$W$14:$W$16</definedName>
    <definedName name="hgeo_max_matrix_u160_hor">kalk!$W$14:$Z$15</definedName>
    <definedName name="hgeo_max_matrix_u2100">kalk!$W$14:$Z$16</definedName>
    <definedName name="hgeo_max_matrix_u2100_hor">kalk!$X$36:$Z$37</definedName>
    <definedName name="hmin_f1">kalk!$F$5</definedName>
    <definedName name="hmin_f2">kalk!$F$6</definedName>
    <definedName name="hmin_f3">kalk!$F$7</definedName>
    <definedName name="hmin_f4">kalk!$F$8</definedName>
    <definedName name="hmin_f5">kalk!$F$9</definedName>
    <definedName name="hmin_s1">kalk!$F$10</definedName>
    <definedName name="hmin_s2">kalk!$F$11</definedName>
    <definedName name="hydr_verl">kalk!$D$41</definedName>
    <definedName name="hydr_verl_zw">kalk!$F$41</definedName>
    <definedName name="id_no">kalk!$G$38</definedName>
    <definedName name="info_nutzvolumen">kalk!$AA$163</definedName>
    <definedName name="info_spannung">kalk!$H$41</definedName>
    <definedName name="kennlinie_laufrad_f_matrix">kalk!$A$5:$H$9</definedName>
    <definedName name="kennlinie_laufrad_s_matrix">kalk!$A$10:$H$11</definedName>
    <definedName name="laufrad_form">Berechnung!$D$20</definedName>
    <definedName name="laufrad_ist">kalk!$D$35</definedName>
    <definedName name="laufrad_ist_volumen">kalk!$AE$32</definedName>
    <definedName name="laufrad_soll_kennlinie">kalk!$AD$32</definedName>
    <definedName name="ldl">Berechnung!$D$12</definedName>
    <definedName name="ldl_max">kalk!$H$48</definedName>
    <definedName name="lform" localSheetId="3">Zubehör!#REF!</definedName>
    <definedName name="lform">Zubehör!#REF!</definedName>
    <definedName name="matrix_anschluss_180">kalk!$AH$132:$AH$148</definedName>
    <definedName name="matrix_anschluss_250">kalk!$AI$132:$AI$148</definedName>
    <definedName name="matrix_anschluss_320">kalk!$AJ$132:$AJ$148</definedName>
    <definedName name="matrix_anschluss_vertikal">kalk!$AL$132:$AL$148</definedName>
    <definedName name="matrix_dnds_zub_hr_suchverweis">db_zub!$X$54:$Y$63</definedName>
    <definedName name="matrix_kennlinie_F1">kalk!$A$77:$C$90</definedName>
    <definedName name="matrix_kennlinie_F2">kalk!$D$77:$F$89</definedName>
    <definedName name="matrix_kennlinie_F3">kalk!$G$77:$I$90</definedName>
    <definedName name="matrix_kennlinie_F4">kalk!$J$77:$L$90</definedName>
    <definedName name="matrix_kennlinie_F5">kalk!$M$77:$O$90</definedName>
    <definedName name="matrix_kennlinie_s1">kalk!$Q$77:$S$90</definedName>
    <definedName name="matrix_kennlinie_s2">kalk!$U$77:$W$90</definedName>
    <definedName name="matrix_name_zub" localSheetId="3">Zubehör!#REF!</definedName>
    <definedName name="matrix_name_zub">Zubehör!#REF!</definedName>
    <definedName name="matrix_nr">kalk!$S$4</definedName>
    <definedName name="matrix_qi_qp">kalk!$Y$96:$AA$99</definedName>
    <definedName name="matrix_u1060">kalk!#REF!</definedName>
    <definedName name="matrix_u12_100_150">kalk!#REF!</definedName>
    <definedName name="max_ldl_ermittelt" localSheetId="3">[2]berechnungen!#REF!</definedName>
    <definedName name="max_ldl_ermittelt" localSheetId="0">[3]berechnungen!#REF!</definedName>
    <definedName name="max_ldl_ermittelt">kalk!#REF!</definedName>
    <definedName name="max_qz_qp">kalk!$B$62</definedName>
    <definedName name="meldung_1">text!$C$4</definedName>
    <definedName name="meldung_10">text!$C$13</definedName>
    <definedName name="meldung_11">text!$C$14</definedName>
    <definedName name="meldung_12">text!$C$15</definedName>
    <definedName name="meldung_13">text!$C$16</definedName>
    <definedName name="meldung_14">text!$C$17</definedName>
    <definedName name="meldung_15">text!$C$18</definedName>
    <definedName name="meldung_16">text!$C$19</definedName>
    <definedName name="meldung_17">text!$C$20</definedName>
    <definedName name="meldung_18">text!$C$21</definedName>
    <definedName name="meldung_19">text!$C$22</definedName>
    <definedName name="meldung_2">text!$C$5</definedName>
    <definedName name="meldung_20">text!$C$23</definedName>
    <definedName name="meldung_21">text!$C$24</definedName>
    <definedName name="meldung_22">text!$C$25</definedName>
    <definedName name="meldung_23">text!$C$26</definedName>
    <definedName name="meldung_24">text!$C$27</definedName>
    <definedName name="meldung_25">text!$C$28</definedName>
    <definedName name="meldung_26">text!$C$29</definedName>
    <definedName name="meldung_27">text!$C$30</definedName>
    <definedName name="meldung_28">text!$C$31</definedName>
    <definedName name="meldung_29">text!$C$32</definedName>
    <definedName name="meldung_3">text!$C$6</definedName>
    <definedName name="meldung_30">text!$C$33</definedName>
    <definedName name="meldung_31">text!$C$34</definedName>
    <definedName name="meldung_32">text!$C$35</definedName>
    <definedName name="meldung_33">text!$C$36</definedName>
    <definedName name="meldung_34">text!$C$37</definedName>
    <definedName name="meldung_35">text!$C$38</definedName>
    <definedName name="meldung_36">text!$C$39</definedName>
    <definedName name="meldung_37">text!$C$40</definedName>
    <definedName name="meldung_38">text!$C$41</definedName>
    <definedName name="meldung_39">text!$C$42</definedName>
    <definedName name="meldung_4">text!$C$7</definedName>
    <definedName name="meldung_40">text!$C$43</definedName>
    <definedName name="meldung_41">text!$C$44</definedName>
    <definedName name="meldung_42">text!$C$45</definedName>
    <definedName name="meldung_43">text!$C$46</definedName>
    <definedName name="meldung_44">text!$C$47</definedName>
    <definedName name="meldung_45">text!$C$48</definedName>
    <definedName name="meldung_46">text!$C$49</definedName>
    <definedName name="meldung_47">text!$C$50</definedName>
    <definedName name="meldung_48">text!$C$51</definedName>
    <definedName name="meldung_49">text!$C$52</definedName>
    <definedName name="meldung_5">text!$C$8</definedName>
    <definedName name="meldung_50">text!$C$53</definedName>
    <definedName name="meldung_51">text!$C$54</definedName>
    <definedName name="meldung_52">text!$C$55</definedName>
    <definedName name="meldung_53">text!$C$56</definedName>
    <definedName name="meldung_54">text!$C$57</definedName>
    <definedName name="meldung_55">text!$C$58</definedName>
    <definedName name="meldung_56">text!$C$59</definedName>
    <definedName name="meldung_57">text!$C$60</definedName>
    <definedName name="meldung_58">text!$C$61</definedName>
    <definedName name="meldung_59">text!$C$62</definedName>
    <definedName name="meldung_6">text!$C$9</definedName>
    <definedName name="meldung_60">text!$C$63</definedName>
    <definedName name="meldung_61">text!$C$64</definedName>
    <definedName name="meldung_62">text!$C$65</definedName>
    <definedName name="meldung_63">text!$C$66</definedName>
    <definedName name="meldung_64">text!$C$67</definedName>
    <definedName name="meldung_65">text!$C$68</definedName>
    <definedName name="meldung_66">text!$C$69</definedName>
    <definedName name="meldung_67">text!$C$70</definedName>
    <definedName name="meldung_68">text!$C$71</definedName>
    <definedName name="meldung_69">text!$C$72</definedName>
    <definedName name="meldung_7">text!$C$10</definedName>
    <definedName name="meldung_70">text!$C$73</definedName>
    <definedName name="meldung_71">text!$C$74</definedName>
    <definedName name="meldung_72">text!$C$75</definedName>
    <definedName name="meldung_73">text!$C$76</definedName>
    <definedName name="meldung_74">text!$C$77</definedName>
    <definedName name="meldung_75">text!$C$78</definedName>
    <definedName name="meldung_76">text!$C$79</definedName>
    <definedName name="meldung_77">text!$C$80</definedName>
    <definedName name="meldung_78">text!$C$81</definedName>
    <definedName name="meldung_79">text!$C$82</definedName>
    <definedName name="meldung_8">text!$C$11</definedName>
    <definedName name="meldung_80">text!$C$83</definedName>
    <definedName name="meldung_81">text!$C$84</definedName>
    <definedName name="meldung_82">text!$C$85</definedName>
    <definedName name="meldung_83">text!$C$86</definedName>
    <definedName name="meldung_84">text!$C$87</definedName>
    <definedName name="meldung_85">text!$C$88</definedName>
    <definedName name="meldung_86">text!$C$89</definedName>
    <definedName name="meldung_87">text!$C$90</definedName>
    <definedName name="meldung_88">text!$C$91</definedName>
    <definedName name="meldung_89">text!$C$92</definedName>
    <definedName name="meldung_9">text!$C$12</definedName>
    <definedName name="meldung_90">text!$C$93</definedName>
    <definedName name="meldung_91">text!$C$94</definedName>
    <definedName name="meldung_92">text!$C$95</definedName>
    <definedName name="meldung_93">text!$C$96</definedName>
    <definedName name="meldung_94">text!$C$97</definedName>
    <definedName name="meldung_95">text!$C$98</definedName>
    <definedName name="Meldung_LU">kalk!$C$3</definedName>
    <definedName name="mm">kalk!$AW$161</definedName>
    <definedName name="name_" localSheetId="3">kalk!$I$38</definedName>
    <definedName name="name_">kalk!$I$38</definedName>
    <definedName name="name_c">text!$C$65</definedName>
    <definedName name="name_mc">text!$C$64</definedName>
    <definedName name="nutzvolumen_ermittelt">kalk!$K$126</definedName>
    <definedName name="nutzvolumen_ist">kalk!$F$48</definedName>
    <definedName name="piv_volumen">kalk!$G$97:$J$99</definedName>
    <definedName name="pr_brutto_07_euro">kalk!$H$38</definedName>
    <definedName name="PR00" localSheetId="7">[4]PR00!$A$1:$B$65536</definedName>
    <definedName name="PR00">[5]PR00!$A$1:$B$65536</definedName>
    <definedName name="q_fsuche">kalk!$K$41</definedName>
    <definedName name="qi_zu_qp_erm">kalk!$AR$196</definedName>
    <definedName name="qmax_allg">kalk!$D$33</definedName>
    <definedName name="qmax_dn_info">kalk!$E$34</definedName>
    <definedName name="qmax_dn100">kalk!$G$56</definedName>
    <definedName name="qmax_dn125">kalk!$G$57</definedName>
    <definedName name="qmax_dn150">kalk!$G$58</definedName>
    <definedName name="qmax_dn200">kalk!$G$59</definedName>
    <definedName name="qmax_dn32">kalk!$G$52</definedName>
    <definedName name="qmax_dn50">kalk!$G$53</definedName>
    <definedName name="qmax_dn65">kalk!$G$54</definedName>
    <definedName name="qmax_dn80">kalk!$G$55</definedName>
    <definedName name="qmax_f1">kalk!$E$5</definedName>
    <definedName name="qmax_f2">kalk!$E$6</definedName>
    <definedName name="qmax_f3">kalk!$E$7</definedName>
    <definedName name="qmax_f4">kalk!$E$8</definedName>
    <definedName name="qmax_f5">kalk!$E$9</definedName>
    <definedName name="qmax_laufrad_ist">kalk!$F$38</definedName>
    <definedName name="qmax_s1">kalk!$E$10</definedName>
    <definedName name="qmax_s2">kalk!$E$11</definedName>
    <definedName name="qmin_allg">kalk!$D$25</definedName>
    <definedName name="qmin_dn_info">kalk!$E$25</definedName>
    <definedName name="qmin_dn100">kalk!$E$56</definedName>
    <definedName name="qmin_dn125">kalk!$E$57</definedName>
    <definedName name="qmin_dn150">kalk!$E$58</definedName>
    <definedName name="qmin_dn200">kalk!$E$59</definedName>
    <definedName name="qmin_dn32">kalk!$E$52</definedName>
    <definedName name="qmin_dn50">kalk!$E$53</definedName>
    <definedName name="qmin_dn65">kalk!$E$54</definedName>
    <definedName name="qmin_dn80">kalk!$E$55</definedName>
    <definedName name="qmin_f1">kalk!$D$5</definedName>
    <definedName name="qmin_f2">kalk!$D$6</definedName>
    <definedName name="qmin_qmax_dn">kalk!$C$51:$G$58</definedName>
    <definedName name="qpumpe">kalk!$D$30</definedName>
    <definedName name="qpumpe_bp" localSheetId="3">kalk!$D$37</definedName>
    <definedName name="qpumpe_bp">kalk!$D$37</definedName>
    <definedName name="qpumpe_bp_f_matrix">kalk!$A$12:$H$16</definedName>
    <definedName name="qpumpe_bp_f1">kalk!$F$12</definedName>
    <definedName name="qpumpe_bp_f2">kalk!$F$13</definedName>
    <definedName name="qpumpe_bp_f3">kalk!$F$14</definedName>
    <definedName name="qpumpe_bp_f4">kalk!$F$15</definedName>
    <definedName name="qpumpe_bp_f5">kalk!$F$16</definedName>
    <definedName name="qpumpe_bp_s_matrix">kalk!$A$17:$H$18</definedName>
    <definedName name="qpumpe_bp_s1">kalk!$F$17</definedName>
    <definedName name="qpumpe_bp_s2">kalk!$F$18</definedName>
    <definedName name="qpumpe_bp_zw">kalk!$D$34</definedName>
    <definedName name="qumrmhinls">kalk!$C$64</definedName>
    <definedName name="qzulauf">Berechnung!$D$8</definedName>
    <definedName name="rel_schalt">kalk!$J$48</definedName>
    <definedName name="spannung">Berechnung!$D$18</definedName>
    <definedName name="toleranz_vmax_dnds">kalk!$L$54</definedName>
    <definedName name="Trel">kalk!$B$66</definedName>
    <definedName name="tz_geg">kalk!$C$94</definedName>
    <definedName name="u060_ah_180">kalk!$W$14</definedName>
    <definedName name="u060_ah_vert">kalk!$W$16</definedName>
    <definedName name="u1100_ah_180">kalk!$X$36</definedName>
    <definedName name="u1100_ah_250">kalk!$X$37</definedName>
    <definedName name="u1100_ah_vert">kalk!$X$38</definedName>
    <definedName name="u2100_ah_180">kalk!$Y$36</definedName>
    <definedName name="u2100_ah_250">kalk!$Y$37</definedName>
    <definedName name="u2100_ah_vert">kalk!$Y$38</definedName>
    <definedName name="vmaxds">kalk!$C$61</definedName>
    <definedName name="vminds">kalk!$C$60</definedName>
    <definedName name="vol_ds_max">kalk!$B$67</definedName>
    <definedName name="vzulauf">Berechnung!$D$17</definedName>
    <definedName name="Weit_einz">'[1]Hya Drive'!$H$73</definedName>
    <definedName name="Weit_Zwi">'[1]Hya Drive'!$H$74</definedName>
    <definedName name="wrn.Amarex." localSheetId="3" hidden="1">{#N/A,#N/A,FALSE,"Page 3";#N/A,#N/A,FALSE,"Page 2";#N/A,#N/A,FALSE,"Page 1"}</definedName>
    <definedName name="wrn.Amarex." localSheetId="7" hidden="1">{#N/A,#N/A,FALSE,"Page 3";#N/A,#N/A,FALSE,"Page 2";#N/A,#N/A,FALSE,"Page 1"}</definedName>
    <definedName name="wrn.Amarex." hidden="1">{#N/A,#N/A,FALSE,"Page 3";#N/A,#N/A,FALSE,"Page 2";#N/A,#N/A,FALSE,"Page 1"}</definedName>
    <definedName name="wrn.Complément._.liste._.de._.prix._.Europe." localSheetId="3" hidden="1">{#N/A,#N/A,FALSE,"Pompes";#N/A,#N/A,FALSE,"Suppléments de prix";#N/A,#N/A,FALSE,"Stat. barre";#N/A,#N/A,FALSE,"Accessoires";#N/A,#N/A,FALSE,"ERT";#N/A,#N/A,FALSE,"Stat. barre (ERT)";#N/A,#N/A,FALSE,"Options"}</definedName>
    <definedName name="wrn.Complément._.liste._.de._.prix._.Europe." localSheetId="7" hidden="1">{#N/A,#N/A,FALSE,"Pompes";#N/A,#N/A,FALSE,"Suppléments de prix";#N/A,#N/A,FALSE,"Stat. barre";#N/A,#N/A,FALSE,"Accessoires";#N/A,#N/A,FALSE,"ERT";#N/A,#N/A,FALSE,"Stat. barre (ERT)";#N/A,#N/A,FALSE,"Options"}</definedName>
    <definedName name="wrn.Complément._.liste._.de._.prix._.Europe." hidden="1">{#N/A,#N/A,FALSE,"Pompes";#N/A,#N/A,FALSE,"Suppléments de prix";#N/A,#N/A,FALSE,"Stat. barre";#N/A,#N/A,FALSE,"Accessoires";#N/A,#N/A,FALSE,"ERT";#N/A,#N/A,FALSE,"Stat. barre (ERT)";#N/A,#N/A,FALSE,"Options"}</definedName>
    <definedName name="wrn.Tarif_DM_D." localSheetId="3" hidden="1">{#N/A,#N/A,FALSE,"Acc. hyd.";#N/A,#N/A,FALSE,"Pompes + kits";#N/A,#N/A,FALSE,"Agrégats";#N/A,#N/A,FALSE,"1ère page"}</definedName>
    <definedName name="wrn.Tarif_DM_D." localSheetId="7" hidden="1">{#N/A,#N/A,FALSE,"Acc. hyd.";#N/A,#N/A,FALSE,"Pompes + kits";#N/A,#N/A,FALSE,"Agrégats";#N/A,#N/A,FALSE,"1ère page"}</definedName>
    <definedName name="wrn.Tarif_DM_D." hidden="1">{#N/A,#N/A,FALSE,"Acc. hyd.";#N/A,#N/A,FALSE,"Pompes + kits";#N/A,#N/A,FALSE,"Agrégats";#N/A,#N/A,FALSE,"1ère page"}</definedName>
    <definedName name="xyz">kalk!$O$132:$AC$148</definedName>
    <definedName name="zeta_gesamt">an!$K$2</definedName>
    <definedName name="zeta_gesamt_50">an!$K$23</definedName>
    <definedName name="zub_bez_liste">db_zub!$E$6:$T$6</definedName>
    <definedName name="zub_bez_liste_p13">db_zub!$C$6:$T$6</definedName>
    <definedName name="zub_bez_liste_spnr">Zubehör!$J$6</definedName>
    <definedName name="zub_bez_liste_spnr_p13">Zubehör!$K$6</definedName>
    <definedName name="zub_mc">#REF!</definedName>
    <definedName name="zub_p101">db_zub!$E$27:$V$28</definedName>
    <definedName name="zub_p102">db_zub!$E$29:$V$30</definedName>
    <definedName name="zub_p103">db_zub!$E$31:$V$31</definedName>
    <definedName name="zub_p10jb">db_zub!$E$68:$V$70</definedName>
    <definedName name="zub_p111">db_zub!$E$32:$V$33</definedName>
    <definedName name="zub_p112">db_zub!$E$34:$V$35</definedName>
    <definedName name="zub_p113">db_zub!$E$38:$V$40</definedName>
    <definedName name="zub_p114">db_zub!$E$41:$V$45</definedName>
    <definedName name="zub_p115">db_zub!$E$46:$V$49</definedName>
    <definedName name="zub_p12">db_zub!$E$50:$V$53</definedName>
    <definedName name="zub_p13">db_zub!$C$54:$V$59</definedName>
    <definedName name="zub_p131">db_zub!$E$60:$V$60</definedName>
    <definedName name="zub_p14">db_zub!$E$61:$V$61</definedName>
    <definedName name="zub_p15">db_zub!$E$62:$V$62</definedName>
    <definedName name="zub_p18">db_zub!#REF!</definedName>
    <definedName name="zub_p20">db_zub!$E$63:$V$67</definedName>
    <definedName name="zub_p3">db_zub!$E$7:$V$10</definedName>
    <definedName name="zub_p5">db_zub!$E$11:$V$15</definedName>
    <definedName name="zub_p8">db_zub!$E$16:$V$20</definedName>
    <definedName name="zub_p9.1">db_zub!$E$21:$V$23</definedName>
    <definedName name="zub_p9.2">db_zub!$E$24:$V$26</definedName>
    <definedName name="zulauf_dn_st">kalk!$AP$196</definedName>
    <definedName name="zulauf_ermittelt">kalk!$Y$163</definedName>
    <definedName name="Zwilling">'[1]Hya Drive'!$H$72</definedName>
  </definedNames>
  <calcPr calcId="162913"/>
  <pivotCaches>
    <pivotCache cacheId="0" r:id="rId14"/>
  </pivotCaches>
</workbook>
</file>

<file path=xl/calcChain.xml><?xml version="1.0" encoding="utf-8"?>
<calcChain xmlns="http://schemas.openxmlformats.org/spreadsheetml/2006/main">
  <c r="E40" i="2" l="1"/>
  <c r="I24" i="6" l="1"/>
  <c r="K24" i="6" s="1"/>
  <c r="H24" i="6"/>
  <c r="K25" i="6"/>
  <c r="I25" i="6"/>
  <c r="C22" i="15" l="1"/>
  <c r="C58" i="11" l="1"/>
  <c r="C57" i="11"/>
  <c r="C56" i="11"/>
  <c r="C55" i="11"/>
  <c r="C54" i="11"/>
  <c r="E20" i="2"/>
  <c r="F18" i="6" l="1"/>
  <c r="D11" i="2"/>
  <c r="B23" i="2" l="1"/>
  <c r="E15" i="11"/>
  <c r="E12" i="11"/>
  <c r="E11" i="11"/>
  <c r="E13" i="11"/>
  <c r="E14" i="11"/>
  <c r="E16" i="11"/>
  <c r="F10" i="6"/>
  <c r="E17" i="11"/>
  <c r="E18" i="11"/>
  <c r="E19" i="11"/>
  <c r="E20" i="11"/>
  <c r="C3" i="4"/>
  <c r="E5" i="4"/>
  <c r="F5" i="4" s="1"/>
  <c r="L5" i="4"/>
  <c r="E6" i="4"/>
  <c r="F6" i="4" s="1"/>
  <c r="E7" i="4"/>
  <c r="F7" i="4" s="1"/>
  <c r="F10" i="4"/>
  <c r="F11" i="4"/>
  <c r="I12" i="4"/>
  <c r="I13" i="4"/>
  <c r="I14" i="4"/>
  <c r="I15" i="4"/>
  <c r="K15" i="4"/>
  <c r="L15" i="4"/>
  <c r="I16" i="4"/>
  <c r="J17" i="4"/>
  <c r="L17" i="4"/>
  <c r="L19" i="4"/>
  <c r="C21" i="4"/>
  <c r="D21" i="4"/>
  <c r="E21" i="4"/>
  <c r="J21" i="4"/>
  <c r="C22" i="4"/>
  <c r="D22" i="4"/>
  <c r="L23" i="4"/>
  <c r="C24" i="4"/>
  <c r="C25" i="4"/>
  <c r="C26" i="4"/>
  <c r="AB32" i="4"/>
  <c r="C33" i="4"/>
  <c r="AB33" i="4"/>
  <c r="AB34" i="4"/>
  <c r="D36" i="4"/>
  <c r="C40" i="4"/>
  <c r="C41" i="4"/>
  <c r="F44" i="4"/>
  <c r="E45" i="4"/>
  <c r="E46" i="4" s="1"/>
  <c r="F45" i="4"/>
  <c r="F46" i="4"/>
  <c r="D52" i="4"/>
  <c r="F52" i="4"/>
  <c r="G52" i="4" s="1"/>
  <c r="K52" i="4"/>
  <c r="D53" i="4"/>
  <c r="F53" i="4"/>
  <c r="G53" i="4" s="1"/>
  <c r="K53" i="4"/>
  <c r="D54" i="4"/>
  <c r="F54" i="4"/>
  <c r="G54" i="4" s="1"/>
  <c r="K54" i="4"/>
  <c r="D55" i="4"/>
  <c r="F55" i="4"/>
  <c r="G55" i="4" s="1"/>
  <c r="D33" i="4" s="1"/>
  <c r="K55" i="4"/>
  <c r="AB55" i="4"/>
  <c r="D56" i="4"/>
  <c r="F56" i="4"/>
  <c r="G56" i="4" s="1"/>
  <c r="K56" i="4"/>
  <c r="AB56" i="4"/>
  <c r="D57" i="4"/>
  <c r="F57" i="4"/>
  <c r="G57" i="4" s="1"/>
  <c r="K57" i="4"/>
  <c r="AB57" i="4"/>
  <c r="D58" i="4"/>
  <c r="F58" i="4"/>
  <c r="G58" i="4" s="1"/>
  <c r="K58" i="4"/>
  <c r="AB58" i="4"/>
  <c r="D59" i="4"/>
  <c r="F59" i="4"/>
  <c r="G59" i="4" s="1"/>
  <c r="AB59" i="4"/>
  <c r="C64" i="4"/>
  <c r="B66" i="4"/>
  <c r="B67" i="4"/>
  <c r="C77" i="4"/>
  <c r="F77" i="4"/>
  <c r="I77" i="4"/>
  <c r="L77" i="4"/>
  <c r="O77" i="4"/>
  <c r="C78" i="4"/>
  <c r="F78" i="4"/>
  <c r="I78" i="4"/>
  <c r="L78" i="4"/>
  <c r="O78" i="4"/>
  <c r="S78" i="4"/>
  <c r="W78" i="4"/>
  <c r="F79" i="4"/>
  <c r="I79" i="4"/>
  <c r="L79" i="4"/>
  <c r="O79" i="4"/>
  <c r="S79" i="4"/>
  <c r="W79" i="4"/>
  <c r="C80" i="4"/>
  <c r="F80" i="4"/>
  <c r="I80" i="4"/>
  <c r="L80" i="4"/>
  <c r="O80" i="4"/>
  <c r="S80" i="4"/>
  <c r="W80" i="4"/>
  <c r="C81" i="4"/>
  <c r="F81" i="4"/>
  <c r="I81" i="4"/>
  <c r="L81" i="4"/>
  <c r="O81" i="4"/>
  <c r="S81" i="4"/>
  <c r="W81" i="4"/>
  <c r="C82" i="4"/>
  <c r="F82" i="4"/>
  <c r="I82" i="4"/>
  <c r="L82" i="4"/>
  <c r="O82" i="4"/>
  <c r="S82" i="4"/>
  <c r="W82" i="4"/>
  <c r="C83" i="4"/>
  <c r="F83" i="4"/>
  <c r="I83" i="4"/>
  <c r="L83" i="4"/>
  <c r="O83" i="4"/>
  <c r="S83" i="4"/>
  <c r="W83" i="4"/>
  <c r="C84" i="4"/>
  <c r="F84" i="4"/>
  <c r="I84" i="4"/>
  <c r="L84" i="4"/>
  <c r="O84" i="4"/>
  <c r="S84" i="4"/>
  <c r="W84" i="4"/>
  <c r="C85" i="4"/>
  <c r="F85" i="4"/>
  <c r="I85" i="4"/>
  <c r="L85" i="4"/>
  <c r="O85" i="4"/>
  <c r="S85" i="4"/>
  <c r="W85" i="4"/>
  <c r="C86" i="4"/>
  <c r="F86" i="4"/>
  <c r="I86" i="4"/>
  <c r="L86" i="4"/>
  <c r="O86" i="4"/>
  <c r="S86" i="4"/>
  <c r="W86" i="4"/>
  <c r="C87" i="4"/>
  <c r="F87" i="4"/>
  <c r="I87" i="4"/>
  <c r="L87" i="4"/>
  <c r="O87" i="4"/>
  <c r="S87" i="4"/>
  <c r="W87" i="4"/>
  <c r="C88" i="4"/>
  <c r="F88" i="4"/>
  <c r="I88" i="4"/>
  <c r="K88" i="4"/>
  <c r="L88" i="4" s="1"/>
  <c r="N88" i="4"/>
  <c r="N89" i="4" s="1"/>
  <c r="S88" i="4"/>
  <c r="W88" i="4"/>
  <c r="F89" i="4"/>
  <c r="I89" i="4"/>
  <c r="K89" i="4"/>
  <c r="L89" i="4" s="1"/>
  <c r="S89" i="4"/>
  <c r="W89" i="4"/>
  <c r="F90" i="4"/>
  <c r="I90" i="4"/>
  <c r="K90" i="4"/>
  <c r="L90" i="4" s="1"/>
  <c r="S90" i="4"/>
  <c r="W90" i="4"/>
  <c r="C94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Z132" i="4"/>
  <c r="AH132" i="4" s="1"/>
  <c r="AC132" i="4"/>
  <c r="AL132" i="4" s="1"/>
  <c r="AD132" i="4"/>
  <c r="AR132" i="4"/>
  <c r="AT132" i="4"/>
  <c r="AY132" i="4"/>
  <c r="BC132" i="4"/>
  <c r="BD132" i="4"/>
  <c r="BE132" i="4"/>
  <c r="H133" i="4"/>
  <c r="Z133" i="4"/>
  <c r="AH133" i="4" s="1"/>
  <c r="AA133" i="4"/>
  <c r="AI133" i="4" s="1"/>
  <c r="AC133" i="4"/>
  <c r="AL133" i="4" s="1"/>
  <c r="AD133" i="4"/>
  <c r="AR133" i="4"/>
  <c r="AT133" i="4"/>
  <c r="AY133" i="4"/>
  <c r="BC133" i="4"/>
  <c r="BD133" i="4"/>
  <c r="BE133" i="4"/>
  <c r="H134" i="4"/>
  <c r="Z134" i="4"/>
  <c r="AH134" i="4" s="1"/>
  <c r="AA134" i="4"/>
  <c r="AI134" i="4" s="1"/>
  <c r="AC134" i="4"/>
  <c r="AL134" i="4" s="1"/>
  <c r="AD134" i="4"/>
  <c r="AR134" i="4"/>
  <c r="AT134" i="4"/>
  <c r="AY134" i="4"/>
  <c r="BC134" i="4"/>
  <c r="BD134" i="4"/>
  <c r="BE134" i="4"/>
  <c r="H135" i="4"/>
  <c r="S135" i="4"/>
  <c r="Y135" i="4"/>
  <c r="AB35" i="4" s="1"/>
  <c r="Z135" i="4"/>
  <c r="AH135" i="4" s="1"/>
  <c r="AA135" i="4"/>
  <c r="AI135" i="4" s="1"/>
  <c r="AC135" i="4"/>
  <c r="AL135" i="4" s="1"/>
  <c r="AD135" i="4"/>
  <c r="AR135" i="4"/>
  <c r="AT135" i="4"/>
  <c r="AY135" i="4"/>
  <c r="BC135" i="4"/>
  <c r="BD135" i="4"/>
  <c r="BE135" i="4"/>
  <c r="H136" i="4"/>
  <c r="S136" i="4"/>
  <c r="Y136" i="4"/>
  <c r="AB36" i="4" s="1"/>
  <c r="Z136" i="4"/>
  <c r="AH136" i="4" s="1"/>
  <c r="AA136" i="4"/>
  <c r="AI136" i="4" s="1"/>
  <c r="AC136" i="4"/>
  <c r="AL136" i="4" s="1"/>
  <c r="AD136" i="4"/>
  <c r="AR136" i="4"/>
  <c r="AT136" i="4"/>
  <c r="AY136" i="4"/>
  <c r="BC136" i="4"/>
  <c r="BD136" i="4"/>
  <c r="BE136" i="4"/>
  <c r="H137" i="4"/>
  <c r="S137" i="4"/>
  <c r="Y137" i="4"/>
  <c r="AB37" i="4" s="1"/>
  <c r="AA137" i="4"/>
  <c r="AI137" i="4" s="1"/>
  <c r="AC137" i="4"/>
  <c r="AL137" i="4" s="1"/>
  <c r="AD137" i="4"/>
  <c r="AY137" i="4"/>
  <c r="BC137" i="4"/>
  <c r="BD137" i="4"/>
  <c r="BE137" i="4"/>
  <c r="H138" i="4"/>
  <c r="S138" i="4"/>
  <c r="Y138" i="4"/>
  <c r="AB38" i="4" s="1"/>
  <c r="AA138" i="4"/>
  <c r="AI138" i="4" s="1"/>
  <c r="AC138" i="4"/>
  <c r="AL138" i="4" s="1"/>
  <c r="AD138" i="4"/>
  <c r="AY138" i="4"/>
  <c r="BC138" i="4"/>
  <c r="BD138" i="4"/>
  <c r="BE138" i="4"/>
  <c r="H139" i="4"/>
  <c r="S139" i="4"/>
  <c r="Y139" i="4"/>
  <c r="AB39" i="4" s="1"/>
  <c r="AA139" i="4"/>
  <c r="AI139" i="4" s="1"/>
  <c r="AC139" i="4"/>
  <c r="AL139" i="4" s="1"/>
  <c r="AD139" i="4"/>
  <c r="AY139" i="4"/>
  <c r="BC139" i="4"/>
  <c r="BD139" i="4"/>
  <c r="BE139" i="4"/>
  <c r="H140" i="4"/>
  <c r="S140" i="4"/>
  <c r="Y140" i="4"/>
  <c r="AB40" i="4" s="1"/>
  <c r="AA140" i="4"/>
  <c r="AI140" i="4" s="1"/>
  <c r="AC140" i="4"/>
  <c r="AL140" i="4" s="1"/>
  <c r="AD140" i="4"/>
  <c r="AY140" i="4"/>
  <c r="BC140" i="4"/>
  <c r="BD140" i="4"/>
  <c r="BE140" i="4"/>
  <c r="H141" i="4"/>
  <c r="S141" i="4"/>
  <c r="Y141" i="4"/>
  <c r="AB41" i="4" s="1"/>
  <c r="AA141" i="4"/>
  <c r="AC141" i="4"/>
  <c r="AL141" i="4" s="1"/>
  <c r="AD141" i="4"/>
  <c r="AY141" i="4"/>
  <c r="BC141" i="4"/>
  <c r="BD141" i="4"/>
  <c r="BE141" i="4"/>
  <c r="H142" i="4"/>
  <c r="S142" i="4"/>
  <c r="Y142" i="4"/>
  <c r="AB42" i="4" s="1"/>
  <c r="AA142" i="4"/>
  <c r="AI142" i="4" s="1"/>
  <c r="AC142" i="4"/>
  <c r="AL142" i="4" s="1"/>
  <c r="AD142" i="4"/>
  <c r="AY142" i="4"/>
  <c r="BC142" i="4"/>
  <c r="BD142" i="4"/>
  <c r="BE142" i="4"/>
  <c r="H143" i="4"/>
  <c r="S143" i="4"/>
  <c r="Y143" i="4"/>
  <c r="AB43" i="4" s="1"/>
  <c r="AA143" i="4"/>
  <c r="AI143" i="4" s="1"/>
  <c r="AB143" i="4"/>
  <c r="AJ143" i="4" s="1"/>
  <c r="AC143" i="4"/>
  <c r="AL143" i="4" s="1"/>
  <c r="AD143" i="4"/>
  <c r="AY143" i="4"/>
  <c r="BC143" i="4"/>
  <c r="BD143" i="4"/>
  <c r="BE143" i="4"/>
  <c r="H144" i="4"/>
  <c r="S144" i="4"/>
  <c r="Y144" i="4"/>
  <c r="AB44" i="4" s="1"/>
  <c r="AA144" i="4"/>
  <c r="AI144" i="4" s="1"/>
  <c r="AB144" i="4"/>
  <c r="AJ144" i="4" s="1"/>
  <c r="AC144" i="4"/>
  <c r="AL144" i="4" s="1"/>
  <c r="AD144" i="4"/>
  <c r="AY144" i="4"/>
  <c r="BC144" i="4"/>
  <c r="BD144" i="4"/>
  <c r="BE144" i="4"/>
  <c r="H145" i="4"/>
  <c r="S145" i="4"/>
  <c r="Y145" i="4"/>
  <c r="AB45" i="4" s="1"/>
  <c r="AA145" i="4"/>
  <c r="AI145" i="4" s="1"/>
  <c r="AB145" i="4"/>
  <c r="AJ145" i="4" s="1"/>
  <c r="AC145" i="4"/>
  <c r="AL145" i="4" s="1"/>
  <c r="AD145" i="4"/>
  <c r="AY145" i="4"/>
  <c r="BC145" i="4"/>
  <c r="BD145" i="4"/>
  <c r="BE145" i="4"/>
  <c r="H146" i="4"/>
  <c r="S146" i="4"/>
  <c r="Y146" i="4"/>
  <c r="AB46" i="4" s="1"/>
  <c r="AA146" i="4"/>
  <c r="AI146" i="4" s="1"/>
  <c r="AB146" i="4"/>
  <c r="AJ146" i="4" s="1"/>
  <c r="AC146" i="4"/>
  <c r="AL146" i="4" s="1"/>
  <c r="AD146" i="4"/>
  <c r="AY146" i="4"/>
  <c r="BC146" i="4"/>
  <c r="BD146" i="4"/>
  <c r="BE146" i="4"/>
  <c r="H147" i="4"/>
  <c r="S147" i="4"/>
  <c r="Y147" i="4"/>
  <c r="AB47" i="4" s="1"/>
  <c r="AA147" i="4"/>
  <c r="AI147" i="4" s="1"/>
  <c r="AB147" i="4"/>
  <c r="AJ147" i="4" s="1"/>
  <c r="AC147" i="4"/>
  <c r="AL147" i="4" s="1"/>
  <c r="AD147" i="4"/>
  <c r="AY147" i="4"/>
  <c r="BC147" i="4"/>
  <c r="BD147" i="4"/>
  <c r="BE147" i="4"/>
  <c r="H148" i="4"/>
  <c r="S148" i="4"/>
  <c r="Y148" i="4"/>
  <c r="AB48" i="4" s="1"/>
  <c r="AA148" i="4"/>
  <c r="AI148" i="4" s="1"/>
  <c r="AB148" i="4"/>
  <c r="AJ148" i="4" s="1"/>
  <c r="AC148" i="4"/>
  <c r="AL148" i="4" s="1"/>
  <c r="AD148" i="4"/>
  <c r="AY148" i="4"/>
  <c r="BC148" i="4"/>
  <c r="BD148" i="4"/>
  <c r="BE148" i="4"/>
  <c r="H149" i="4"/>
  <c r="S149" i="4"/>
  <c r="Y149" i="4"/>
  <c r="AB49" i="4" s="1"/>
  <c r="AA149" i="4"/>
  <c r="AB149" i="4"/>
  <c r="AC149" i="4"/>
  <c r="AL149" i="4" s="1"/>
  <c r="AD149" i="4"/>
  <c r="AK149" i="4" s="1"/>
  <c r="AY149" i="4"/>
  <c r="BC149" i="4"/>
  <c r="BD149" i="4"/>
  <c r="BE149" i="4"/>
  <c r="H150" i="4"/>
  <c r="S150" i="4"/>
  <c r="Y150" i="4"/>
  <c r="AB50" i="4" s="1"/>
  <c r="AA150" i="4"/>
  <c r="AB150" i="4"/>
  <c r="AC150" i="4"/>
  <c r="AL150" i="4" s="1"/>
  <c r="AD150" i="4"/>
  <c r="AK151" i="4" s="1"/>
  <c r="AY150" i="4"/>
  <c r="BC150" i="4"/>
  <c r="BD150" i="4"/>
  <c r="BE150" i="4"/>
  <c r="H151" i="4"/>
  <c r="S151" i="4"/>
  <c r="Y151" i="4"/>
  <c r="AB51" i="4" s="1"/>
  <c r="AA151" i="4"/>
  <c r="AB151" i="4"/>
  <c r="AC151" i="4"/>
  <c r="AL151" i="4" s="1"/>
  <c r="AD151" i="4"/>
  <c r="AY151" i="4"/>
  <c r="BC151" i="4"/>
  <c r="BD151" i="4"/>
  <c r="BE151" i="4"/>
  <c r="H152" i="4"/>
  <c r="S152" i="4"/>
  <c r="Y152" i="4"/>
  <c r="AB52" i="4" s="1"/>
  <c r="AA152" i="4"/>
  <c r="AB152" i="4"/>
  <c r="AC152" i="4"/>
  <c r="AL152" i="4" s="1"/>
  <c r="AD152" i="4"/>
  <c r="AK153" i="4" s="1"/>
  <c r="AY152" i="4"/>
  <c r="BC152" i="4"/>
  <c r="BD152" i="4"/>
  <c r="BE152" i="4"/>
  <c r="H153" i="4"/>
  <c r="S153" i="4"/>
  <c r="Y153" i="4"/>
  <c r="AB53" i="4" s="1"/>
  <c r="AA153" i="4"/>
  <c r="AB153" i="4"/>
  <c r="AC153" i="4"/>
  <c r="AL153" i="4" s="1"/>
  <c r="AD153" i="4"/>
  <c r="AK154" i="4" s="1"/>
  <c r="AY153" i="4"/>
  <c r="BC153" i="4"/>
  <c r="BD153" i="4"/>
  <c r="BE153" i="4"/>
  <c r="H154" i="4"/>
  <c r="S154" i="4"/>
  <c r="Y154" i="4"/>
  <c r="AB54" i="4" s="1"/>
  <c r="AA154" i="4"/>
  <c r="AB154" i="4"/>
  <c r="AC154" i="4"/>
  <c r="AL154" i="4" s="1"/>
  <c r="AD154" i="4"/>
  <c r="AY154" i="4"/>
  <c r="BC154" i="4"/>
  <c r="BD154" i="4"/>
  <c r="BE154" i="4"/>
  <c r="H155" i="4"/>
  <c r="Z155" i="4"/>
  <c r="AH155" i="4" s="1"/>
  <c r="AA155" i="4"/>
  <c r="AB155" i="4"/>
  <c r="AC155" i="4"/>
  <c r="AL155" i="4" s="1"/>
  <c r="AD155" i="4"/>
  <c r="AR155" i="4"/>
  <c r="AS155" i="4"/>
  <c r="AT155" i="4"/>
  <c r="AY155" i="4"/>
  <c r="BC155" i="4"/>
  <c r="BD155" i="4"/>
  <c r="BE155" i="4"/>
  <c r="H156" i="4"/>
  <c r="Z156" i="4"/>
  <c r="AH156" i="4" s="1"/>
  <c r="AA156" i="4"/>
  <c r="AI156" i="4" s="1"/>
  <c r="AB156" i="4"/>
  <c r="AC156" i="4"/>
  <c r="AL156" i="4" s="1"/>
  <c r="AD156" i="4"/>
  <c r="AR156" i="4"/>
  <c r="AS156" i="4"/>
  <c r="AT156" i="4"/>
  <c r="AY156" i="4"/>
  <c r="BC156" i="4"/>
  <c r="BD156" i="4"/>
  <c r="BE156" i="4"/>
  <c r="H157" i="4"/>
  <c r="Z157" i="4"/>
  <c r="AA157" i="4"/>
  <c r="AI157" i="4" s="1"/>
  <c r="AB157" i="4"/>
  <c r="AC157" i="4"/>
  <c r="AL157" i="4" s="1"/>
  <c r="AD157" i="4"/>
  <c r="AR157" i="4"/>
  <c r="AS157" i="4"/>
  <c r="AT157" i="4"/>
  <c r="AY157" i="4"/>
  <c r="BC157" i="4"/>
  <c r="BD157" i="4"/>
  <c r="BE157" i="4"/>
  <c r="H158" i="4"/>
  <c r="Z158" i="4"/>
  <c r="AH158" i="4" s="1"/>
  <c r="AA158" i="4"/>
  <c r="AI158" i="4" s="1"/>
  <c r="AB158" i="4"/>
  <c r="AC158" i="4"/>
  <c r="AL158" i="4" s="1"/>
  <c r="AD158" i="4"/>
  <c r="AR158" i="4"/>
  <c r="AS158" i="4"/>
  <c r="AT158" i="4"/>
  <c r="AY158" i="4"/>
  <c r="BC158" i="4"/>
  <c r="BD158" i="4"/>
  <c r="BE158" i="4"/>
  <c r="H159" i="4"/>
  <c r="Z159" i="4"/>
  <c r="AH159" i="4" s="1"/>
  <c r="AA159" i="4"/>
  <c r="AI159" i="4" s="1"/>
  <c r="AB159" i="4"/>
  <c r="AC159" i="4"/>
  <c r="AL159" i="4" s="1"/>
  <c r="AD159" i="4"/>
  <c r="AR159" i="4"/>
  <c r="AS159" i="4"/>
  <c r="AT159" i="4"/>
  <c r="AY159" i="4"/>
  <c r="BC159" i="4"/>
  <c r="BD159" i="4"/>
  <c r="BE159" i="4"/>
  <c r="H160" i="4"/>
  <c r="T160" i="4"/>
  <c r="U160" i="4"/>
  <c r="V160" i="4"/>
  <c r="X160" i="4"/>
  <c r="Z160" i="4"/>
  <c r="AC160" i="4"/>
  <c r="AD160" i="4"/>
  <c r="H161" i="4"/>
  <c r="H162" i="4"/>
  <c r="H163" i="4"/>
  <c r="H164" i="4"/>
  <c r="H165" i="4"/>
  <c r="H166" i="4"/>
  <c r="H167" i="4"/>
  <c r="H168" i="4"/>
  <c r="AO168" i="4"/>
  <c r="H169" i="4"/>
  <c r="AO169" i="4"/>
  <c r="H170" i="4"/>
  <c r="AO170" i="4"/>
  <c r="H171" i="4"/>
  <c r="Y171" i="4"/>
  <c r="H172" i="4"/>
  <c r="Y172" i="4"/>
  <c r="H173" i="4"/>
  <c r="Y173" i="4"/>
  <c r="AO173" i="4"/>
  <c r="H174" i="4"/>
  <c r="Y174" i="4"/>
  <c r="AO174" i="4"/>
  <c r="H175" i="4"/>
  <c r="Y175" i="4"/>
  <c r="AO175" i="4"/>
  <c r="H176" i="4"/>
  <c r="Y176" i="4"/>
  <c r="H177" i="4"/>
  <c r="Y177" i="4"/>
  <c r="H178" i="4"/>
  <c r="Y178" i="4"/>
  <c r="H179" i="4"/>
  <c r="Y179" i="4"/>
  <c r="AO179" i="4"/>
  <c r="H180" i="4"/>
  <c r="Y180" i="4"/>
  <c r="AO180" i="4"/>
  <c r="H181" i="4"/>
  <c r="Y181" i="4"/>
  <c r="AO181" i="4"/>
  <c r="H182" i="4"/>
  <c r="Y182" i="4"/>
  <c r="H183" i="4"/>
  <c r="Y183" i="4"/>
  <c r="H184" i="4"/>
  <c r="Y184" i="4"/>
  <c r="H185" i="4"/>
  <c r="Y185" i="4"/>
  <c r="H186" i="4"/>
  <c r="Y186" i="4"/>
  <c r="H187" i="4"/>
  <c r="Y187" i="4"/>
  <c r="H188" i="4"/>
  <c r="Y188" i="4"/>
  <c r="H189" i="4"/>
  <c r="Y189" i="4"/>
  <c r="H190" i="4"/>
  <c r="Y190" i="4"/>
  <c r="H191" i="4"/>
  <c r="AO191" i="4"/>
  <c r="H192" i="4"/>
  <c r="AO192" i="4"/>
  <c r="H193" i="4"/>
  <c r="AO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E2" i="1"/>
  <c r="D5" i="1" s="1"/>
  <c r="K2" i="1"/>
  <c r="D6" i="1" s="1"/>
  <c r="F11" i="1"/>
  <c r="C15" i="1"/>
  <c r="C19" i="1"/>
  <c r="E19" i="1"/>
  <c r="G19" i="1"/>
  <c r="I19" i="1"/>
  <c r="K19" i="1"/>
  <c r="K20" i="1" s="1"/>
  <c r="M19" i="1"/>
  <c r="M20" i="1" s="1"/>
  <c r="P19" i="1"/>
  <c r="P20" i="1" s="1"/>
  <c r="Q19" i="1"/>
  <c r="Q20" i="1" s="1"/>
  <c r="C20" i="1"/>
  <c r="E20" i="1"/>
  <c r="G20" i="1"/>
  <c r="I20" i="1"/>
  <c r="D26" i="1"/>
  <c r="E26" i="1"/>
  <c r="F26" i="1"/>
  <c r="G26" i="1"/>
  <c r="H26" i="1"/>
  <c r="I26" i="1"/>
  <c r="J26" i="1"/>
  <c r="K26" i="1"/>
  <c r="L26" i="1"/>
  <c r="D27" i="1"/>
  <c r="E27" i="1"/>
  <c r="F27" i="1"/>
  <c r="G27" i="1"/>
  <c r="H27" i="1"/>
  <c r="I27" i="1"/>
  <c r="J27" i="1"/>
  <c r="K27" i="1"/>
  <c r="L27" i="1"/>
  <c r="D28" i="1"/>
  <c r="E28" i="1"/>
  <c r="F28" i="1"/>
  <c r="G28" i="1"/>
  <c r="H28" i="1"/>
  <c r="I28" i="1"/>
  <c r="J28" i="1"/>
  <c r="K28" i="1"/>
  <c r="L28" i="1"/>
  <c r="D29" i="1"/>
  <c r="E29" i="1"/>
  <c r="F29" i="1"/>
  <c r="G29" i="1"/>
  <c r="H29" i="1"/>
  <c r="I29" i="1"/>
  <c r="J29" i="1"/>
  <c r="K29" i="1"/>
  <c r="L29" i="1"/>
  <c r="D30" i="1"/>
  <c r="E30" i="1"/>
  <c r="F30" i="1"/>
  <c r="G30" i="1"/>
  <c r="H30" i="1"/>
  <c r="I30" i="1"/>
  <c r="J30" i="1"/>
  <c r="K30" i="1"/>
  <c r="L30" i="1"/>
  <c r="D31" i="1"/>
  <c r="E31" i="1"/>
  <c r="F31" i="1"/>
  <c r="G31" i="1"/>
  <c r="H31" i="1"/>
  <c r="I31" i="1"/>
  <c r="J31" i="1"/>
  <c r="K31" i="1"/>
  <c r="L31" i="1"/>
  <c r="D32" i="1"/>
  <c r="E32" i="1"/>
  <c r="F32" i="1"/>
  <c r="G32" i="1"/>
  <c r="H32" i="1"/>
  <c r="I32" i="1"/>
  <c r="J32" i="1"/>
  <c r="K32" i="1"/>
  <c r="L32" i="1"/>
  <c r="D33" i="1"/>
  <c r="E33" i="1"/>
  <c r="F33" i="1"/>
  <c r="G33" i="1"/>
  <c r="H33" i="1"/>
  <c r="I33" i="1"/>
  <c r="J33" i="1"/>
  <c r="K33" i="1"/>
  <c r="L33" i="1"/>
  <c r="D34" i="1"/>
  <c r="E34" i="1"/>
  <c r="F34" i="1"/>
  <c r="G34" i="1"/>
  <c r="H34" i="1"/>
  <c r="I34" i="1"/>
  <c r="J34" i="1"/>
  <c r="K34" i="1"/>
  <c r="L34" i="1"/>
  <c r="D35" i="1"/>
  <c r="E35" i="1"/>
  <c r="F35" i="1"/>
  <c r="G35" i="1"/>
  <c r="H35" i="1"/>
  <c r="I35" i="1"/>
  <c r="J35" i="1"/>
  <c r="K35" i="1"/>
  <c r="L35" i="1"/>
  <c r="F43" i="19"/>
  <c r="F44" i="19"/>
  <c r="F45" i="19"/>
  <c r="G62" i="19"/>
  <c r="H62" i="19"/>
  <c r="G118" i="19"/>
  <c r="H118" i="19"/>
  <c r="E2" i="6"/>
  <c r="F3" i="6"/>
  <c r="G3" i="6"/>
  <c r="H3" i="6"/>
  <c r="I3" i="6"/>
  <c r="J3" i="6"/>
  <c r="E4" i="6"/>
  <c r="F9" i="6"/>
  <c r="F15" i="6"/>
  <c r="K15" i="6"/>
  <c r="F16" i="6"/>
  <c r="K17" i="6"/>
  <c r="G21" i="6"/>
  <c r="F27" i="6"/>
  <c r="K31" i="6"/>
  <c r="K33" i="6"/>
  <c r="B47" i="6"/>
  <c r="K47" i="6"/>
  <c r="L47" i="6"/>
  <c r="E2" i="2"/>
  <c r="H3" i="2"/>
  <c r="J3" i="2"/>
  <c r="K3" i="2"/>
  <c r="E4" i="2"/>
  <c r="B6" i="2"/>
  <c r="E6" i="2"/>
  <c r="E7" i="2"/>
  <c r="E8" i="2"/>
  <c r="E9" i="2"/>
  <c r="F9" i="2"/>
  <c r="C37" i="4"/>
  <c r="E11" i="2"/>
  <c r="B12" i="2"/>
  <c r="E12" i="2"/>
  <c r="B13" i="2"/>
  <c r="E13" i="2"/>
  <c r="E14" i="2"/>
  <c r="B15" i="2"/>
  <c r="E15" i="2"/>
  <c r="B16" i="2"/>
  <c r="C16" i="2"/>
  <c r="E16" i="2"/>
  <c r="B17" i="2"/>
  <c r="C17" i="2"/>
  <c r="E17" i="2"/>
  <c r="B18" i="2"/>
  <c r="E18" i="2"/>
  <c r="B20" i="2"/>
  <c r="B21" i="2"/>
  <c r="C21" i="2"/>
  <c r="E21" i="2"/>
  <c r="B22" i="2"/>
  <c r="B26" i="2"/>
  <c r="B31" i="2"/>
  <c r="B34" i="2"/>
  <c r="B36" i="2"/>
  <c r="E36" i="2"/>
  <c r="B37" i="2"/>
  <c r="B38" i="2"/>
  <c r="B39" i="2"/>
  <c r="E39" i="2"/>
  <c r="B40" i="2"/>
  <c r="D41" i="2"/>
  <c r="D42" i="2"/>
  <c r="B44" i="2"/>
  <c r="H44" i="2"/>
  <c r="B45" i="2"/>
  <c r="B46" i="2"/>
  <c r="K46" i="2"/>
  <c r="L46" i="2"/>
  <c r="E3" i="12"/>
  <c r="E3" i="6" s="1"/>
  <c r="E17" i="12"/>
  <c r="E18" i="12"/>
  <c r="E19" i="12"/>
  <c r="E20" i="12"/>
  <c r="E21" i="12"/>
  <c r="E22" i="12"/>
  <c r="E23" i="12"/>
  <c r="E24" i="12"/>
  <c r="E25" i="12"/>
  <c r="K25" i="12"/>
  <c r="K26" i="12" s="1"/>
  <c r="E26" i="12"/>
  <c r="E27" i="12"/>
  <c r="E28" i="12"/>
  <c r="E29" i="12"/>
  <c r="H29" i="12"/>
  <c r="E30" i="12"/>
  <c r="E31" i="12"/>
  <c r="E32" i="12"/>
  <c r="E33" i="12"/>
  <c r="E34" i="12"/>
  <c r="E35" i="12"/>
  <c r="E36" i="12"/>
  <c r="K36" i="12"/>
  <c r="E37" i="12"/>
  <c r="E41" i="12"/>
  <c r="E42" i="12" s="1"/>
  <c r="K42" i="12" s="1"/>
  <c r="B44" i="12"/>
  <c r="J44" i="12"/>
  <c r="K44" i="12"/>
  <c r="F14" i="1"/>
  <c r="H12" i="1"/>
  <c r="J10" i="1"/>
  <c r="E7" i="1"/>
  <c r="N90" i="4" l="1"/>
  <c r="O90" i="4" s="1"/>
  <c r="O89" i="4"/>
  <c r="K41" i="12"/>
  <c r="D6" i="2" s="1"/>
  <c r="D8" i="2" s="1"/>
  <c r="H7" i="4" s="1"/>
  <c r="H14" i="1"/>
  <c r="E39" i="12"/>
  <c r="E12" i="1"/>
  <c r="O88" i="4"/>
  <c r="J9" i="1"/>
  <c r="E58" i="4"/>
  <c r="E56" i="4"/>
  <c r="E8" i="1"/>
  <c r="H27" i="12"/>
  <c r="H6" i="1"/>
  <c r="E8" i="4"/>
  <c r="F8" i="4" s="1"/>
  <c r="E52" i="4"/>
  <c r="E9" i="4"/>
  <c r="F9" i="4" s="1"/>
  <c r="F16" i="4" s="1"/>
  <c r="E54" i="4"/>
  <c r="L8" i="1"/>
  <c r="K12" i="1"/>
  <c r="K8" i="1"/>
  <c r="I13" i="1"/>
  <c r="H10" i="1"/>
  <c r="G7" i="1"/>
  <c r="I7" i="1"/>
  <c r="E11" i="1"/>
  <c r="E14" i="1"/>
  <c r="J12" i="1"/>
  <c r="D11" i="1"/>
  <c r="H9" i="1"/>
  <c r="L7" i="1"/>
  <c r="D7" i="1"/>
  <c r="D8" i="1"/>
  <c r="K9" i="1"/>
  <c r="I11" i="1"/>
  <c r="G13" i="1"/>
  <c r="K5" i="1"/>
  <c r="K14" i="1"/>
  <c r="D14" i="1"/>
  <c r="F13" i="1"/>
  <c r="G12" i="1"/>
  <c r="J11" i="1"/>
  <c r="L10" i="1"/>
  <c r="D10" i="1"/>
  <c r="F9" i="1"/>
  <c r="I8" i="1"/>
  <c r="J7" i="1"/>
  <c r="L6" i="1"/>
  <c r="E6" i="1"/>
  <c r="J6" i="1"/>
  <c r="H8" i="1"/>
  <c r="F10" i="1"/>
  <c r="D12" i="1"/>
  <c r="K13" i="1"/>
  <c r="I14" i="1"/>
  <c r="L13" i="1"/>
  <c r="D13" i="1"/>
  <c r="F12" i="1"/>
  <c r="H11" i="1"/>
  <c r="I10" i="1"/>
  <c r="L9" i="1"/>
  <c r="E9" i="1"/>
  <c r="F8" i="1"/>
  <c r="H7" i="1"/>
  <c r="K6" i="1"/>
  <c r="F6" i="1"/>
  <c r="AK152" i="4"/>
  <c r="AM152" i="4" s="1"/>
  <c r="G9" i="1"/>
  <c r="L12" i="1"/>
  <c r="J14" i="1"/>
  <c r="G15" i="1"/>
  <c r="H13" i="1"/>
  <c r="K11" i="1"/>
  <c r="G10" i="1"/>
  <c r="J8" i="1"/>
  <c r="G6" i="1"/>
  <c r="J15" i="1"/>
  <c r="AF140" i="4"/>
  <c r="AF141" i="4"/>
  <c r="AM151" i="4"/>
  <c r="F17" i="4"/>
  <c r="E53" i="4"/>
  <c r="AI141" i="4"/>
  <c r="AM141" i="4" s="1"/>
  <c r="AK150" i="4"/>
  <c r="AM150" i="4" s="1"/>
  <c r="AF133" i="4"/>
  <c r="AF136" i="4"/>
  <c r="AF150" i="4"/>
  <c r="AF145" i="4"/>
  <c r="AF139" i="4"/>
  <c r="AM137" i="4"/>
  <c r="AM153" i="4"/>
  <c r="AM142" i="4"/>
  <c r="F5" i="1"/>
  <c r="AF156" i="4"/>
  <c r="AF155" i="4"/>
  <c r="AF153" i="4"/>
  <c r="AF132" i="4"/>
  <c r="AF142" i="4"/>
  <c r="AF149" i="4"/>
  <c r="AF147" i="4"/>
  <c r="AF143" i="4"/>
  <c r="L5" i="1"/>
  <c r="AM155" i="4"/>
  <c r="AM154" i="4"/>
  <c r="AM159" i="4"/>
  <c r="AM148" i="4"/>
  <c r="AM140" i="4"/>
  <c r="AM133" i="4"/>
  <c r="AM143" i="4"/>
  <c r="F103" i="19"/>
  <c r="C31" i="4"/>
  <c r="F14" i="4"/>
  <c r="D19" i="4"/>
  <c r="AM134" i="4"/>
  <c r="F15" i="4"/>
  <c r="K15" i="1"/>
  <c r="F12" i="4"/>
  <c r="AM139" i="4"/>
  <c r="AM132" i="4"/>
  <c r="F13" i="4"/>
  <c r="E15" i="1"/>
  <c r="C34" i="4"/>
  <c r="F15" i="1"/>
  <c r="AM149" i="4"/>
  <c r="AM147" i="4"/>
  <c r="AM145" i="4"/>
  <c r="AM138" i="4"/>
  <c r="F18" i="4"/>
  <c r="AH157" i="4"/>
  <c r="AM157" i="4" s="1"/>
  <c r="AF157" i="4"/>
  <c r="AF158" i="4"/>
  <c r="K24" i="4"/>
  <c r="K23" i="4"/>
  <c r="AF159" i="4"/>
  <c r="D15" i="1"/>
  <c r="H15" i="1"/>
  <c r="I15" i="1"/>
  <c r="L15" i="1"/>
  <c r="AM158" i="4"/>
  <c r="AF148" i="4"/>
  <c r="AM146" i="4"/>
  <c r="AF146" i="4"/>
  <c r="AM144" i="4"/>
  <c r="AF144" i="4"/>
  <c r="AM136" i="4"/>
  <c r="AM135" i="4"/>
  <c r="AF135" i="4"/>
  <c r="J5" i="1"/>
  <c r="E5" i="1"/>
  <c r="H5" i="1"/>
  <c r="I5" i="1"/>
  <c r="G5" i="1"/>
  <c r="AM156" i="4"/>
  <c r="AF154" i="4"/>
  <c r="AF152" i="4"/>
  <c r="AF151" i="4"/>
  <c r="AF138" i="4"/>
  <c r="H30" i="12"/>
  <c r="H28" i="12"/>
  <c r="L14" i="1"/>
  <c r="G14" i="1"/>
  <c r="J13" i="1"/>
  <c r="E13" i="1"/>
  <c r="I12" i="1"/>
  <c r="L11" i="1"/>
  <c r="G11" i="1"/>
  <c r="K10" i="1"/>
  <c r="E10" i="1"/>
  <c r="I9" i="1"/>
  <c r="D9" i="1"/>
  <c r="G8" i="1"/>
  <c r="K7" i="1"/>
  <c r="F7" i="1"/>
  <c r="I6" i="1"/>
  <c r="AF137" i="4"/>
  <c r="AF134" i="4"/>
  <c r="E59" i="4"/>
  <c r="E57" i="4"/>
  <c r="E55" i="4"/>
  <c r="E3" i="2"/>
  <c r="H6" i="4" l="1"/>
  <c r="H5" i="4"/>
  <c r="H11" i="4"/>
  <c r="H10" i="4"/>
  <c r="H8" i="4"/>
  <c r="H9" i="4"/>
  <c r="F8" i="2"/>
  <c r="G7" i="2"/>
  <c r="AF161" i="4"/>
  <c r="Z33" i="4"/>
  <c r="Z32" i="4"/>
  <c r="Y35" i="4"/>
  <c r="Y38" i="4"/>
  <c r="Y32" i="4"/>
  <c r="D31" i="4" s="1"/>
  <c r="Y36" i="4"/>
  <c r="F28" i="4"/>
  <c r="AA33" i="4"/>
  <c r="Y33" i="4"/>
  <c r="Z36" i="4"/>
  <c r="AA36" i="4"/>
  <c r="AA35" i="4"/>
  <c r="Y34" i="4"/>
  <c r="Y37" i="4"/>
  <c r="AA34" i="4"/>
  <c r="Z34" i="4"/>
  <c r="AA32" i="4"/>
  <c r="K19" i="4"/>
  <c r="K20" i="4"/>
  <c r="D25" i="4"/>
  <c r="D30" i="4" s="1"/>
  <c r="D43" i="4"/>
  <c r="AA38" i="4"/>
  <c r="Z37" i="4"/>
  <c r="Z38" i="4"/>
  <c r="AA37" i="4"/>
  <c r="Z35" i="4"/>
  <c r="E31" i="4" l="1"/>
  <c r="F31" i="4" s="1"/>
  <c r="G19" i="2" s="1"/>
  <c r="D24" i="4"/>
  <c r="G31" i="4"/>
  <c r="AF32" i="4"/>
  <c r="AF33" i="4"/>
  <c r="D32" i="4"/>
  <c r="C32" i="4"/>
  <c r="C32" i="2"/>
  <c r="E32" i="4"/>
  <c r="D34" i="4"/>
  <c r="F32" i="4" l="1"/>
  <c r="D15" i="4"/>
  <c r="E14" i="4"/>
  <c r="F33" i="4"/>
  <c r="D13" i="4"/>
  <c r="E13" i="4"/>
  <c r="AD32" i="4"/>
  <c r="K42" i="4"/>
  <c r="D18" i="4"/>
  <c r="E12" i="4"/>
  <c r="D17" i="4"/>
  <c r="D16" i="4"/>
  <c r="E16" i="4"/>
  <c r="F27" i="4"/>
  <c r="F34" i="4"/>
  <c r="D14" i="4"/>
  <c r="E15" i="4"/>
  <c r="D12" i="4"/>
  <c r="E18" i="4"/>
  <c r="E17" i="4"/>
  <c r="AC36" i="4" l="1"/>
  <c r="AC33" i="4"/>
  <c r="AC32" i="4"/>
  <c r="AC38" i="4"/>
  <c r="AC35" i="4"/>
  <c r="AC37" i="4"/>
  <c r="AC34" i="4"/>
  <c r="AE32" i="4" l="1"/>
  <c r="AG150" i="4" s="1"/>
  <c r="AN150" i="4" s="1"/>
  <c r="AC27" i="4"/>
  <c r="AG157" i="4" l="1"/>
  <c r="AN157" i="4" s="1"/>
  <c r="AG132" i="4"/>
  <c r="AN132" i="4" s="1"/>
  <c r="AG159" i="4"/>
  <c r="AN159" i="4" s="1"/>
  <c r="AG149" i="4"/>
  <c r="AN149" i="4" s="1"/>
  <c r="AG144" i="4"/>
  <c r="AN144" i="4" s="1"/>
  <c r="AG141" i="4"/>
  <c r="AN141" i="4" s="1"/>
  <c r="AG145" i="4"/>
  <c r="AN145" i="4" s="1"/>
  <c r="AG128" i="4"/>
  <c r="AG142" i="4"/>
  <c r="AN142" i="4" s="1"/>
  <c r="AG140" i="4"/>
  <c r="AN140" i="4" s="1"/>
  <c r="AG139" i="4"/>
  <c r="AN139" i="4" s="1"/>
  <c r="AG155" i="4"/>
  <c r="AN155" i="4" s="1"/>
  <c r="AG133" i="4"/>
  <c r="AN133" i="4" s="1"/>
  <c r="AG158" i="4"/>
  <c r="AN158" i="4" s="1"/>
  <c r="AG148" i="4"/>
  <c r="AN148" i="4" s="1"/>
  <c r="AG134" i="4"/>
  <c r="AN134" i="4" s="1"/>
  <c r="AG153" i="4"/>
  <c r="AN153" i="4" s="1"/>
  <c r="AG152" i="4"/>
  <c r="AN152" i="4" s="1"/>
  <c r="AG146" i="4"/>
  <c r="AN146" i="4" s="1"/>
  <c r="AG138" i="4"/>
  <c r="AN138" i="4" s="1"/>
  <c r="AG136" i="4"/>
  <c r="AN136" i="4" s="1"/>
  <c r="AG156" i="4"/>
  <c r="AN156" i="4" s="1"/>
  <c r="AG135" i="4"/>
  <c r="AN135" i="4" s="1"/>
  <c r="AG151" i="4"/>
  <c r="AN151" i="4" s="1"/>
  <c r="AG154" i="4"/>
  <c r="AN154" i="4" s="1"/>
  <c r="AG147" i="4"/>
  <c r="AN147" i="4" s="1"/>
  <c r="AG143" i="4"/>
  <c r="AN143" i="4" s="1"/>
  <c r="AG137" i="4"/>
  <c r="AN137" i="4" s="1"/>
  <c r="D35" i="4"/>
  <c r="F36" i="6" s="1"/>
  <c r="I38" i="4" l="1"/>
  <c r="J37" i="4"/>
  <c r="J38" i="4"/>
  <c r="F37" i="4"/>
  <c r="S4" i="4"/>
  <c r="Q6" i="4" s="1"/>
  <c r="D37" i="4"/>
  <c r="H55" i="4" s="1"/>
  <c r="C18" i="15"/>
  <c r="H41" i="4" s="1"/>
  <c r="B28" i="2" s="1"/>
  <c r="F38" i="4"/>
  <c r="E27" i="4" s="1"/>
  <c r="D36" i="2"/>
  <c r="H31" i="4"/>
  <c r="Y162" i="4"/>
  <c r="Y161" i="4"/>
  <c r="BE161" i="4" l="1"/>
  <c r="F112" i="19" s="1"/>
  <c r="BA161" i="4"/>
  <c r="E54" i="19" s="1"/>
  <c r="AW161" i="4"/>
  <c r="F24" i="19" s="1"/>
  <c r="AS161" i="4"/>
  <c r="BD161" i="4"/>
  <c r="F107" i="19" s="1"/>
  <c r="AZ161" i="4"/>
  <c r="AV161" i="4"/>
  <c r="F22" i="19" s="1"/>
  <c r="AR161" i="4"/>
  <c r="BG161" i="4"/>
  <c r="BC161" i="4"/>
  <c r="AY161" i="4"/>
  <c r="AU161" i="4"/>
  <c r="AQ161" i="4"/>
  <c r="F20" i="19" s="1"/>
  <c r="BF161" i="4"/>
  <c r="BB161" i="4"/>
  <c r="E55" i="19" s="1"/>
  <c r="AX161" i="4"/>
  <c r="AT161" i="4"/>
  <c r="AP161" i="4"/>
  <c r="F19" i="19" s="1"/>
  <c r="P11" i="4"/>
  <c r="F102" i="19"/>
  <c r="I52" i="4"/>
  <c r="I53" i="4"/>
  <c r="D14" i="2"/>
  <c r="K6" i="4" s="1"/>
  <c r="L6" i="4" s="1"/>
  <c r="G11" i="4"/>
  <c r="G18" i="4" s="1"/>
  <c r="H18" i="4" s="1"/>
  <c r="X38" i="4" s="1"/>
  <c r="H58" i="4"/>
  <c r="G5" i="4"/>
  <c r="G12" i="4" s="1"/>
  <c r="H12" i="4" s="1"/>
  <c r="X32" i="4" s="1"/>
  <c r="I59" i="4"/>
  <c r="H59" i="4"/>
  <c r="E34" i="4"/>
  <c r="F33" i="2" s="1"/>
  <c r="G7" i="4"/>
  <c r="G14" i="4" s="1"/>
  <c r="H14" i="4" s="1"/>
  <c r="X34" i="4" s="1"/>
  <c r="Q16" i="4"/>
  <c r="P7" i="4"/>
  <c r="P13" i="4"/>
  <c r="Q8" i="4"/>
  <c r="P6" i="4"/>
  <c r="P17" i="4"/>
  <c r="I54" i="4"/>
  <c r="G6" i="4"/>
  <c r="G13" i="4" s="1"/>
  <c r="H13" i="4" s="1"/>
  <c r="X33" i="4" s="1"/>
  <c r="H54" i="4"/>
  <c r="K16" i="4"/>
  <c r="H52" i="4"/>
  <c r="G9" i="4"/>
  <c r="G16" i="4" s="1"/>
  <c r="H16" i="4" s="1"/>
  <c r="X36" i="4" s="1"/>
  <c r="I57" i="4"/>
  <c r="H53" i="4"/>
  <c r="G8" i="4"/>
  <c r="G15" i="4" s="1"/>
  <c r="H15" i="4" s="1"/>
  <c r="X35" i="4" s="1"/>
  <c r="G10" i="4"/>
  <c r="G17" i="4" s="1"/>
  <c r="H17" i="4" s="1"/>
  <c r="X37" i="4" s="1"/>
  <c r="H56" i="4"/>
  <c r="H57" i="4"/>
  <c r="G41" i="4"/>
  <c r="J48" i="4"/>
  <c r="B25" i="2" s="1"/>
  <c r="D41" i="4"/>
  <c r="F41" i="4" s="1"/>
  <c r="E10" i="2" s="1"/>
  <c r="A40" i="4"/>
  <c r="I56" i="4"/>
  <c r="D40" i="4"/>
  <c r="D13" i="2"/>
  <c r="I55" i="4"/>
  <c r="I58" i="4"/>
  <c r="Q13" i="4"/>
  <c r="Q12" i="4"/>
  <c r="Q11" i="4"/>
  <c r="Q9" i="4"/>
  <c r="Q15" i="4"/>
  <c r="P18" i="4"/>
  <c r="Q17" i="4"/>
  <c r="P9" i="4"/>
  <c r="P5" i="4"/>
  <c r="Q14" i="4"/>
  <c r="Q5" i="4"/>
  <c r="Q10" i="4"/>
  <c r="P14" i="4"/>
  <c r="Q18" i="4"/>
  <c r="P16" i="4"/>
  <c r="Q7" i="4"/>
  <c r="O4" i="4"/>
  <c r="P10" i="4"/>
  <c r="P15" i="4"/>
  <c r="P12" i="4"/>
  <c r="P8" i="4"/>
  <c r="C33" i="2"/>
  <c r="J55" i="4"/>
  <c r="AG196" i="4"/>
  <c r="F34" i="19" s="1"/>
  <c r="E56" i="19"/>
  <c r="AI196" i="4"/>
  <c r="E36" i="19" s="1"/>
  <c r="D36" i="19" s="1"/>
  <c r="D35" i="6"/>
  <c r="AR196" i="4"/>
  <c r="Z196" i="4"/>
  <c r="F27" i="19" s="1"/>
  <c r="AE196" i="4"/>
  <c r="F32" i="19" s="1"/>
  <c r="AK196" i="4"/>
  <c r="F41" i="19" s="1"/>
  <c r="AJ196" i="4"/>
  <c r="F36" i="19" s="1"/>
  <c r="AC196" i="4"/>
  <c r="F30" i="19" s="1"/>
  <c r="AL196" i="4"/>
  <c r="F42" i="19" s="1"/>
  <c r="AA196" i="4"/>
  <c r="F28" i="19" s="1"/>
  <c r="AB196" i="4"/>
  <c r="F29" i="19" s="1"/>
  <c r="AO196" i="4"/>
  <c r="E90" i="19" s="1"/>
  <c r="D38" i="4"/>
  <c r="E38" i="4" s="1"/>
  <c r="K6" i="6" s="1"/>
  <c r="AF196" i="4"/>
  <c r="F33" i="19" s="1"/>
  <c r="AN196" i="4"/>
  <c r="E16" i="19" s="1"/>
  <c r="AQ196" i="4"/>
  <c r="AH196" i="4"/>
  <c r="AP196" i="4"/>
  <c r="AD196" i="4"/>
  <c r="F31" i="19" s="1"/>
  <c r="AM196" i="4"/>
  <c r="F47" i="19" s="1"/>
  <c r="Y164" i="4"/>
  <c r="AE162" i="4"/>
  <c r="AL161" i="4"/>
  <c r="AC161" i="4" s="1"/>
  <c r="AO161" i="4"/>
  <c r="AM161" i="4"/>
  <c r="AD161" i="4" s="1"/>
  <c r="AH161" i="4"/>
  <c r="Z161" i="4" s="1"/>
  <c r="AJ161" i="4"/>
  <c r="AB161" i="4" s="1"/>
  <c r="AN161" i="4"/>
  <c r="AG161" i="4"/>
  <c r="AK161" i="4"/>
  <c r="AI161" i="4"/>
  <c r="AA161" i="4" s="1"/>
  <c r="F35" i="6" l="1"/>
  <c r="Y64" i="11"/>
  <c r="H35" i="6" s="1"/>
  <c r="J52" i="4"/>
  <c r="F22" i="6"/>
  <c r="G38" i="4"/>
  <c r="H38" i="4" s="1"/>
  <c r="B6" i="6"/>
  <c r="K8" i="4"/>
  <c r="L8" i="4" s="1"/>
  <c r="J56" i="4"/>
  <c r="J54" i="4"/>
  <c r="D42" i="4"/>
  <c r="K12" i="4"/>
  <c r="K10" i="4"/>
  <c r="L10" i="4" s="1"/>
  <c r="K13" i="4"/>
  <c r="K11" i="4"/>
  <c r="L11" i="4" s="1"/>
  <c r="F14" i="2"/>
  <c r="J58" i="4"/>
  <c r="K9" i="4"/>
  <c r="L9" i="4" s="1"/>
  <c r="B27" i="2"/>
  <c r="J57" i="4"/>
  <c r="J53" i="4"/>
  <c r="J59" i="4"/>
  <c r="K14" i="4"/>
  <c r="K7" i="4"/>
  <c r="L7" i="4" s="1"/>
  <c r="L12" i="4"/>
  <c r="L16" i="4" s="1"/>
  <c r="B24" i="2"/>
  <c r="L14" i="4"/>
  <c r="L24" i="4" s="1"/>
  <c r="O20" i="1"/>
  <c r="Y163" i="4"/>
  <c r="R126" i="4" s="1"/>
  <c r="F25" i="6"/>
  <c r="F26" i="6"/>
  <c r="F29" i="6"/>
  <c r="F28" i="6"/>
  <c r="F23" i="6"/>
  <c r="F30" i="6"/>
  <c r="F32" i="6"/>
  <c r="F24" i="6"/>
  <c r="F34" i="6"/>
  <c r="D23" i="4"/>
  <c r="E22" i="4"/>
  <c r="E33" i="4"/>
  <c r="E76" i="19"/>
  <c r="E95" i="19"/>
  <c r="D93" i="19"/>
  <c r="E86" i="19"/>
  <c r="E97" i="19"/>
  <c r="E98" i="19"/>
  <c r="D11" i="19"/>
  <c r="D92" i="19"/>
  <c r="E100" i="19"/>
  <c r="D96" i="19"/>
  <c r="E89" i="19"/>
  <c r="E15" i="19"/>
  <c r="E91" i="19"/>
  <c r="E96" i="19"/>
  <c r="E75" i="19"/>
  <c r="D95" i="19"/>
  <c r="E87" i="19"/>
  <c r="D91" i="19"/>
  <c r="E77" i="19"/>
  <c r="E72" i="19"/>
  <c r="E93" i="19"/>
  <c r="D94" i="19"/>
  <c r="E83" i="19"/>
  <c r="E82" i="19"/>
  <c r="E71" i="19"/>
  <c r="E94" i="19"/>
  <c r="E73" i="19"/>
  <c r="E80" i="19"/>
  <c r="E88" i="19"/>
  <c r="E92" i="19"/>
  <c r="D97" i="19"/>
  <c r="E53" i="19"/>
  <c r="F105" i="19"/>
  <c r="K126" i="4"/>
  <c r="I35" i="6" l="1"/>
  <c r="K35" i="6" s="1"/>
  <c r="L52" i="4"/>
  <c r="E25" i="4" s="1"/>
  <c r="F32" i="2" s="1"/>
  <c r="F15" i="2" s="1"/>
  <c r="F18" i="2" s="1"/>
  <c r="L20" i="4"/>
  <c r="D48" i="4"/>
  <c r="D38" i="2" s="1"/>
  <c r="AA163" i="4"/>
  <c r="B35" i="2" s="1"/>
  <c r="AA165" i="4"/>
  <c r="F48" i="4"/>
  <c r="D39" i="2" s="1"/>
  <c r="D105" i="19"/>
  <c r="J6" i="6"/>
  <c r="H25" i="6" s="1"/>
  <c r="D37" i="2"/>
  <c r="F114" i="19"/>
  <c r="D34" i="2"/>
  <c r="B22" i="6"/>
  <c r="H3" i="19"/>
  <c r="D9" i="19"/>
  <c r="B20" i="6"/>
  <c r="E37" i="2"/>
  <c r="E38" i="2"/>
  <c r="I18" i="6" l="1"/>
  <c r="K18" i="6" s="1"/>
  <c r="H18" i="6"/>
  <c r="H34" i="6"/>
  <c r="I34" i="6"/>
  <c r="H16" i="6"/>
  <c r="I32" i="6"/>
  <c r="K32" i="6" s="1"/>
  <c r="F14" i="6"/>
  <c r="I16" i="6"/>
  <c r="K16" i="6" s="1"/>
  <c r="H42" i="6"/>
  <c r="H32" i="6"/>
  <c r="H29" i="6"/>
  <c r="H9" i="6"/>
  <c r="I41" i="6"/>
  <c r="K41" i="6" s="1"/>
  <c r="H30" i="6"/>
  <c r="H12" i="6"/>
  <c r="I29" i="6"/>
  <c r="K29" i="6" s="1"/>
  <c r="H8" i="6"/>
  <c r="I12" i="6"/>
  <c r="K12" i="6" s="1"/>
  <c r="H10" i="6"/>
  <c r="I10" i="6"/>
  <c r="K10" i="6" s="1"/>
  <c r="I40" i="6"/>
  <c r="K40" i="6" s="1"/>
  <c r="H40" i="6"/>
  <c r="I13" i="6"/>
  <c r="K13" i="6" s="1"/>
  <c r="H43" i="6"/>
  <c r="H28" i="6"/>
  <c r="I28" i="6"/>
  <c r="K28" i="6" s="1"/>
  <c r="K34" i="6"/>
  <c r="I9" i="6"/>
  <c r="K9" i="6" s="1"/>
  <c r="I11" i="6"/>
  <c r="K11" i="6" s="1"/>
  <c r="I30" i="6"/>
  <c r="K30" i="6" s="1"/>
  <c r="I8" i="6"/>
  <c r="K8" i="6" s="1"/>
  <c r="H41" i="6"/>
  <c r="I42" i="6"/>
  <c r="K42" i="6" s="1"/>
  <c r="H23" i="6"/>
  <c r="H11" i="6"/>
  <c r="I23" i="6"/>
  <c r="K23" i="6" s="1"/>
  <c r="F13" i="6"/>
  <c r="H13" i="6"/>
  <c r="I14" i="6"/>
  <c r="K14" i="6" s="1"/>
  <c r="F11" i="6"/>
  <c r="I43" i="6"/>
  <c r="K43" i="6" s="1"/>
  <c r="I26" i="6"/>
  <c r="K26" i="6" s="1"/>
  <c r="F12" i="6"/>
  <c r="H14" i="6"/>
  <c r="F12" i="2"/>
  <c r="B30" i="2" s="1"/>
  <c r="K45" i="4"/>
  <c r="K44" i="4" s="1"/>
  <c r="H48" i="4"/>
  <c r="D40" i="2" s="1"/>
  <c r="H66" i="19"/>
  <c r="F110" i="19"/>
  <c r="F42" i="6"/>
  <c r="H26" i="6"/>
  <c r="K45" i="6" l="1"/>
  <c r="E41" i="2" s="1"/>
  <c r="E42" i="2" s="1"/>
  <c r="B29" i="2"/>
  <c r="D47" i="4"/>
</calcChain>
</file>

<file path=xl/comments1.xml><?xml version="1.0" encoding="utf-8"?>
<comments xmlns="http://schemas.openxmlformats.org/spreadsheetml/2006/main">
  <authors>
    <author>Markus Krellner</author>
  </authors>
  <commentList>
    <comment ref="C18" authorId="0" shapeId="0">
      <text>
        <r>
          <rPr>
            <b/>
            <sz val="8"/>
            <color indexed="81"/>
            <rFont val="Tahoma"/>
            <family val="2"/>
          </rPr>
          <t>0,7m/s bei Rohrinndurchmesser von 50mm</t>
        </r>
      </text>
    </comment>
    <comment ref="E18" authorId="0" shapeId="0">
      <text>
        <r>
          <rPr>
            <b/>
            <sz val="8"/>
            <color indexed="81"/>
            <rFont val="Tahoma"/>
            <family val="2"/>
          </rPr>
          <t>2,3m/s bei Rohrinndurchmesser von 50mm</t>
        </r>
      </text>
    </comment>
    <comment ref="G18" authorId="0" shapeId="0">
      <text>
        <r>
          <rPr>
            <b/>
            <sz val="8"/>
            <color indexed="81"/>
            <rFont val="Tahoma"/>
            <family val="2"/>
          </rPr>
          <t>0,7m/s bei Rohrinndurchmesser von 80mm</t>
        </r>
      </text>
    </comment>
    <comment ref="I18" authorId="0" shapeId="0">
      <text>
        <r>
          <rPr>
            <b/>
            <sz val="8"/>
            <color indexed="81"/>
            <rFont val="Tahoma"/>
            <family val="2"/>
          </rPr>
          <t>2,3m/s bei Rohrinndurchmesser von 80mm</t>
        </r>
      </text>
    </comment>
    <comment ref="K18" authorId="0" shapeId="0">
      <text>
        <r>
          <rPr>
            <b/>
            <sz val="8"/>
            <color indexed="81"/>
            <rFont val="Tahoma"/>
            <family val="2"/>
          </rPr>
          <t>0,7m/s bei Rohrinndurchmesser von 100mm</t>
        </r>
      </text>
    </comment>
    <comment ref="M18" authorId="0" shapeId="0">
      <text>
        <r>
          <rPr>
            <b/>
            <sz val="8"/>
            <color indexed="81"/>
            <rFont val="Tahoma"/>
            <family val="2"/>
          </rPr>
          <t>2,3m/s bei Rohrinndurchmesser von 100mm</t>
        </r>
      </text>
    </comment>
    <comment ref="P18" authorId="0" shapeId="0">
      <text>
        <r>
          <rPr>
            <b/>
            <sz val="8"/>
            <color indexed="81"/>
            <rFont val="Tahoma"/>
            <family val="2"/>
          </rPr>
          <t>0,7m/s bei Rohrinndurchmesser von 100mm</t>
        </r>
      </text>
    </comment>
    <comment ref="Q18" authorId="0" shapeId="0">
      <text>
        <r>
          <rPr>
            <b/>
            <sz val="8"/>
            <color indexed="81"/>
            <rFont val="Tahoma"/>
            <family val="2"/>
          </rPr>
          <t>2,3m/s bei Rohrinndurchmesser von 100mm</t>
        </r>
      </text>
    </comment>
  </commentList>
</comments>
</file>

<file path=xl/comments2.xml><?xml version="1.0" encoding="utf-8"?>
<comments xmlns="http://schemas.openxmlformats.org/spreadsheetml/2006/main">
  <authors>
    <author>gatzale</author>
  </authors>
  <commentList>
    <comment ref="D31" authorId="0" shapeId="0">
      <text>
        <r>
          <rPr>
            <b/>
            <sz val="9"/>
            <color indexed="81"/>
            <rFont val="Tahoma"/>
            <family val="2"/>
          </rPr>
          <t>gatzale:19.04.16</t>
        </r>
        <r>
          <rPr>
            <sz val="9"/>
            <color indexed="81"/>
            <rFont val="Tahoma"/>
            <family val="2"/>
          </rPr>
          <t xml:space="preserve">
Laufradbestimmung durch das Volumen der druckseitigen Rohrleitung (führend ist die Behältervolumenbtrachtung; daraus resultiert die Zuordnung der vorhandenen Hydraulik)</t>
        </r>
      </text>
    </comment>
    <comment ref="E31" authorId="0" shapeId="0">
      <text>
        <r>
          <rPr>
            <b/>
            <sz val="9"/>
            <color indexed="81"/>
            <rFont val="Tahoma"/>
            <family val="2"/>
          </rPr>
          <t>gatzale:</t>
        </r>
        <r>
          <rPr>
            <sz val="9"/>
            <color indexed="81"/>
            <rFont val="Arial"/>
            <family val="2"/>
          </rPr>
          <t xml:space="preserve"> 19.04.16
Laufradgrößenbewertung nach Kennlinienförderhöhe (hydraulische Suche)</t>
        </r>
      </text>
    </comment>
    <comment ref="F31" authorId="0" shapeId="0">
      <text>
        <r>
          <rPr>
            <b/>
            <sz val="9"/>
            <color indexed="81"/>
            <rFont val="Tahoma"/>
            <family val="2"/>
          </rPr>
          <t>gatzale:</t>
        </r>
        <r>
          <rPr>
            <sz val="9"/>
            <color indexed="81"/>
            <rFont val="Arial"/>
            <family val="2"/>
          </rPr>
          <t>19.04.16
Laufradgrößenvergleich für Generierung der Meldung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1" authorId="0" shapeId="0">
      <text>
        <r>
          <rPr>
            <b/>
            <sz val="9"/>
            <color indexed="81"/>
            <rFont val="Tahoma"/>
            <family val="2"/>
          </rPr>
          <t>gatzale:19.04.16</t>
        </r>
        <r>
          <rPr>
            <sz val="9"/>
            <color indexed="81"/>
            <rFont val="Tahoma"/>
            <family val="2"/>
          </rPr>
          <t xml:space="preserve">
Laufradbestimmung durch das Volumen der druckseitigen Rohrleitung (führend ist die Behältervolumenbtrachtung; daraus resultiert die Zuordnung der vorhandenen Hydraulik)</t>
        </r>
      </text>
    </comment>
  </commentList>
</comments>
</file>

<file path=xl/sharedStrings.xml><?xml version="1.0" encoding="utf-8"?>
<sst xmlns="http://schemas.openxmlformats.org/spreadsheetml/2006/main" count="2909" uniqueCount="942">
  <si>
    <t>Berechnungen</t>
  </si>
  <si>
    <t>Hydraulik</t>
  </si>
  <si>
    <t>Formel</t>
  </si>
  <si>
    <t>qmin</t>
  </si>
  <si>
    <t>qmax</t>
  </si>
  <si>
    <t>Hp</t>
  </si>
  <si>
    <t>Hpkennl</t>
  </si>
  <si>
    <t>Kennlinie F1</t>
  </si>
  <si>
    <t>Kennlinie F2</t>
  </si>
  <si>
    <t>Kennlinie F3</t>
  </si>
  <si>
    <t>Kennlinie F4</t>
  </si>
  <si>
    <t>Q F1</t>
  </si>
  <si>
    <t>Q F2</t>
  </si>
  <si>
    <t>Q F3</t>
  </si>
  <si>
    <t>Q F4</t>
  </si>
  <si>
    <t>Hydraulikbestimmung</t>
  </si>
  <si>
    <t>Laufradsuche grob</t>
  </si>
  <si>
    <t>U60</t>
  </si>
  <si>
    <t>U100</t>
  </si>
  <si>
    <t>Mindestmengenfestlegung</t>
  </si>
  <si>
    <t>Pumpenmengensuche (Qzul)</t>
  </si>
  <si>
    <t>Empfehlung</t>
  </si>
  <si>
    <t>Behälterbezeichnung</t>
  </si>
  <si>
    <t>Fördermengeprüfung qmax</t>
  </si>
  <si>
    <t>Fördermengeprüfung qmin</t>
  </si>
  <si>
    <t>1. Wert</t>
  </si>
  <si>
    <t>Wert zu klein - 2.Wert</t>
  </si>
  <si>
    <t>Wert zu klein - 3.Wert</t>
  </si>
  <si>
    <t>Ausgabewert</t>
  </si>
  <si>
    <t>Zulaufhöhe</t>
  </si>
  <si>
    <t>Qmin/Qmax-Bestimmung wg. DN</t>
  </si>
  <si>
    <t>Qmin</t>
  </si>
  <si>
    <t>m³/h</t>
  </si>
  <si>
    <t>Qmax</t>
  </si>
  <si>
    <t>DN</t>
  </si>
  <si>
    <t>l/s</t>
  </si>
  <si>
    <t>Vorgabe DIN</t>
  </si>
  <si>
    <t>vmin</t>
  </si>
  <si>
    <t>m/s</t>
  </si>
  <si>
    <t>vmax</t>
  </si>
  <si>
    <t xml:space="preserve"> [ l/s ]</t>
  </si>
  <si>
    <t xml:space="preserve"> [ m³/h ]</t>
  </si>
  <si>
    <t>Umrechnung</t>
  </si>
  <si>
    <t>U1.060</t>
  </si>
  <si>
    <t>U1.100</t>
  </si>
  <si>
    <t>U2.100</t>
  </si>
  <si>
    <t>[ m ]</t>
  </si>
  <si>
    <r>
      <t>H</t>
    </r>
    <r>
      <rPr>
        <vertAlign val="subscript"/>
        <sz val="12"/>
        <rFont val="Arial"/>
        <family val="2"/>
      </rPr>
      <t>geo</t>
    </r>
  </si>
  <si>
    <r>
      <t>H</t>
    </r>
    <r>
      <rPr>
        <vertAlign val="subscript"/>
        <sz val="12"/>
        <rFont val="Arial"/>
        <family val="2"/>
      </rPr>
      <t>tot</t>
    </r>
  </si>
  <si>
    <t>m³/h in dm³/s</t>
  </si>
  <si>
    <t>[ l/s ]</t>
  </si>
  <si>
    <t>Benennung:</t>
  </si>
  <si>
    <t>F-Rad 1</t>
  </si>
  <si>
    <t>Q</t>
  </si>
  <si>
    <t>H</t>
  </si>
  <si>
    <t>m</t>
  </si>
  <si>
    <t>Diagramm</t>
  </si>
  <si>
    <t>horizontal</t>
  </si>
  <si>
    <t>Vertikal</t>
  </si>
  <si>
    <t>Diagrammdaten</t>
  </si>
  <si>
    <t>k1</t>
  </si>
  <si>
    <t>k2</t>
  </si>
  <si>
    <t xml:space="preserve">Anlagenkennlinie für DN </t>
  </si>
  <si>
    <t>Zeta gesamt =</t>
  </si>
  <si>
    <t>Fließgeschw. [m/s]</t>
  </si>
  <si>
    <t>Legende:</t>
  </si>
  <si>
    <t>Q [m³/h]</t>
  </si>
  <si>
    <t>Eingabewerte</t>
  </si>
  <si>
    <t>H geo [m]</t>
  </si>
  <si>
    <t>Rechenwerte</t>
  </si>
  <si>
    <t>v zul</t>
  </si>
  <si>
    <t>Tagstunden</t>
  </si>
  <si>
    <t xml:space="preserve"> [ m ]</t>
  </si>
  <si>
    <t>Vergleich fh_geo vs ldl</t>
  </si>
  <si>
    <t>Nutzung 16h von 24 und 40%in einer Zeiteinheit</t>
  </si>
  <si>
    <t>hor_0_k</t>
  </si>
  <si>
    <t>Identnummerrn</t>
  </si>
  <si>
    <t>Anlage</t>
  </si>
  <si>
    <t>U1.060_230</t>
  </si>
  <si>
    <t>U1.060_400</t>
  </si>
  <si>
    <t>U1.100_230</t>
  </si>
  <si>
    <t>U1.100_400</t>
  </si>
  <si>
    <t>U2.100_230</t>
  </si>
  <si>
    <t>U2.100_400</t>
  </si>
  <si>
    <t>29 131 501</t>
  </si>
  <si>
    <t>29 131 500</t>
  </si>
  <si>
    <t>29 131 505</t>
  </si>
  <si>
    <t>29 131 504</t>
  </si>
  <si>
    <t>29 131 507</t>
  </si>
  <si>
    <t>29 131 506</t>
  </si>
  <si>
    <t>Identnummer</t>
  </si>
  <si>
    <t>Preis</t>
  </si>
  <si>
    <t>Bezeichnung</t>
  </si>
  <si>
    <t>U1.060 E</t>
  </si>
  <si>
    <t>U1.060 D</t>
  </si>
  <si>
    <t>U1.100 E</t>
  </si>
  <si>
    <t>U1.100 D</t>
  </si>
  <si>
    <t>U2.100 E</t>
  </si>
  <si>
    <t>U2.100 D</t>
  </si>
  <si>
    <r>
      <t>230/400</t>
    </r>
    <r>
      <rPr>
        <sz val="10"/>
        <color indexed="8"/>
        <rFont val="Arial"/>
        <family val="2"/>
      </rPr>
      <t xml:space="preserve"> [V] 50Hz</t>
    </r>
  </si>
  <si>
    <t>k3</t>
  </si>
  <si>
    <t>k4</t>
  </si>
  <si>
    <t>Kennlinie F5</t>
  </si>
  <si>
    <t>Laufradbestimmung wg. Qmin_DN</t>
  </si>
  <si>
    <t>k5</t>
  </si>
  <si>
    <t>Rohrl.</t>
  </si>
  <si>
    <t>Laufrad</t>
  </si>
  <si>
    <t>Betriebspunktsuche</t>
  </si>
  <si>
    <t>Behältervorentscheidung</t>
  </si>
  <si>
    <t>Fördermenge maximum</t>
  </si>
  <si>
    <t>matrix_kennlinie_F1</t>
  </si>
  <si>
    <t>matrix_kennlinie_F2</t>
  </si>
  <si>
    <t>matrix_kennlinie_F3</t>
  </si>
  <si>
    <t>matrix_kennlinie_F4</t>
  </si>
  <si>
    <t>matrix_kennlinie_F5</t>
  </si>
  <si>
    <t>Qmin DN65</t>
  </si>
  <si>
    <t>Qmax DN65</t>
  </si>
  <si>
    <t>Qmin DN 50</t>
  </si>
  <si>
    <t>Qmax DN 50</t>
  </si>
  <si>
    <t>Qmin DN 80</t>
  </si>
  <si>
    <t>Qmax DN 80</t>
  </si>
  <si>
    <t>Qmin DN 100</t>
  </si>
  <si>
    <t>Qmax DN 100</t>
  </si>
  <si>
    <t>Q F5</t>
  </si>
  <si>
    <t>Anschlußhöhe</t>
  </si>
  <si>
    <t>nv</t>
  </si>
  <si>
    <t>Nutzvolumen_ist</t>
  </si>
  <si>
    <t>max_Länge</t>
  </si>
  <si>
    <t>[m/s]</t>
  </si>
  <si>
    <t>[m]</t>
  </si>
  <si>
    <t>Volumen der Druckleitung vs</t>
  </si>
  <si>
    <t>Nutzvolumen</t>
  </si>
  <si>
    <t>Prüfung der Verlusthöhe</t>
  </si>
  <si>
    <t>U3.100</t>
  </si>
  <si>
    <t>U4.100</t>
  </si>
  <si>
    <t>U5.100</t>
  </si>
  <si>
    <t>U3.300</t>
  </si>
  <si>
    <t>U4.300</t>
  </si>
  <si>
    <t>U5.300</t>
  </si>
  <si>
    <t>UZ1.150</t>
  </si>
  <si>
    <t>UZ2.150</t>
  </si>
  <si>
    <t>UZ3.150</t>
  </si>
  <si>
    <t>UZ4.150</t>
  </si>
  <si>
    <t>UZ5.150</t>
  </si>
  <si>
    <t>UZ3.300</t>
  </si>
  <si>
    <t>UZ4.300</t>
  </si>
  <si>
    <t>UZ5.300</t>
  </si>
  <si>
    <t>U3.100_400</t>
  </si>
  <si>
    <t>U4.100_400</t>
  </si>
  <si>
    <t>U5.100_400</t>
  </si>
  <si>
    <t>U3.300_400</t>
  </si>
  <si>
    <t>U4.300_400</t>
  </si>
  <si>
    <t>U5.300_400</t>
  </si>
  <si>
    <t>UZ1.150_230</t>
  </si>
  <si>
    <t>UZ1.150_400</t>
  </si>
  <si>
    <t>UZ2.150_400</t>
  </si>
  <si>
    <t>UZ2.150_230</t>
  </si>
  <si>
    <t>UZ3.150_400</t>
  </si>
  <si>
    <t>UZ4.150_400</t>
  </si>
  <si>
    <t>UZ5.150_400</t>
  </si>
  <si>
    <t>UZ3.300_400</t>
  </si>
  <si>
    <t>UZ4.300_400</t>
  </si>
  <si>
    <t>UZ5.300_400</t>
  </si>
  <si>
    <t>29 131 550</t>
  </si>
  <si>
    <t>29 131 552</t>
  </si>
  <si>
    <t>29 131 554</t>
  </si>
  <si>
    <t>29 131 551</t>
  </si>
  <si>
    <t>29 131 553</t>
  </si>
  <si>
    <t>U3.100 D</t>
  </si>
  <si>
    <t>U4.100 D</t>
  </si>
  <si>
    <t>U5.100 D</t>
  </si>
  <si>
    <t>U3.300 D</t>
  </si>
  <si>
    <t>U4.300 D</t>
  </si>
  <si>
    <t>U5.300 D</t>
  </si>
  <si>
    <t>UZ1.150 E</t>
  </si>
  <si>
    <t>UZ2.150 E</t>
  </si>
  <si>
    <t>UZ1.150 D</t>
  </si>
  <si>
    <t>UZ2.150 D</t>
  </si>
  <si>
    <t>UZ3.150 D</t>
  </si>
  <si>
    <t>UZ4.150 D</t>
  </si>
  <si>
    <t>UZ5.150 D</t>
  </si>
  <si>
    <t>UZ3.300 D</t>
  </si>
  <si>
    <t>UZ4.300 D</t>
  </si>
  <si>
    <t>UZ5.300 D</t>
  </si>
  <si>
    <t>ldl_max</t>
  </si>
  <si>
    <t>Produkt - Nutzvolumen</t>
  </si>
  <si>
    <t>Produkt - ldl_max</t>
  </si>
  <si>
    <t>Behälter</t>
  </si>
  <si>
    <t>Zeile</t>
  </si>
  <si>
    <t>Ansschlusshöhe</t>
  </si>
  <si>
    <t>Anlagenbezeichnung</t>
  </si>
  <si>
    <t>MAX_Länge</t>
  </si>
  <si>
    <t>Auswertung_Anschluss</t>
  </si>
  <si>
    <t>Auswertung_Alles</t>
  </si>
  <si>
    <t>sh</t>
  </si>
  <si>
    <t>Pumpzeit</t>
  </si>
  <si>
    <t>Stillstand</t>
  </si>
  <si>
    <t>dn</t>
  </si>
  <si>
    <t>dn_empf</t>
  </si>
  <si>
    <t>y = -0,00546417x2 - 0,28403585x + 11,92514327</t>
  </si>
  <si>
    <t>y = -0,00212898x2 - 0,29829257x + 15,28853066</t>
  </si>
  <si>
    <t>F-Rad 2</t>
  </si>
  <si>
    <t>F-Rad 3</t>
  </si>
  <si>
    <t>F-Rad 4</t>
  </si>
  <si>
    <t>F-Rad 5</t>
  </si>
  <si>
    <t>Max. Qi/Qp</t>
  </si>
  <si>
    <t>Meldungen</t>
  </si>
  <si>
    <t>k</t>
  </si>
  <si>
    <t>DU</t>
  </si>
  <si>
    <t>Qww =</t>
  </si>
  <si>
    <t>l/sha</t>
  </si>
  <si>
    <t>./.</t>
  </si>
  <si>
    <t>m²</t>
  </si>
  <si>
    <t>Qr =</t>
  </si>
  <si>
    <t>Qc =</t>
  </si>
  <si>
    <t>Qm = Qww + Qr + Qc</t>
  </si>
  <si>
    <t>y</t>
  </si>
  <si>
    <t>6</t>
  </si>
  <si>
    <t>x=(y-15,385)/(-0,3404); x=(y-16,807)/(-0,4149)</t>
  </si>
  <si>
    <t>x=(y-11,968)/(-0,3502); x=(y-13,522)7(-0,4772)</t>
  </si>
  <si>
    <t>mini-Compacta®</t>
  </si>
  <si>
    <t>Compacta®</t>
  </si>
  <si>
    <t>Name</t>
  </si>
  <si>
    <t>Preisgruppe P17</t>
  </si>
  <si>
    <t>Pos.</t>
  </si>
  <si>
    <t>Teile-Benennung</t>
  </si>
  <si>
    <t>Ident-Nr.</t>
  </si>
  <si>
    <t>P3</t>
  </si>
  <si>
    <t>Elast. Schlauchverbindung</t>
  </si>
  <si>
    <t>X</t>
  </si>
  <si>
    <t>P5</t>
  </si>
  <si>
    <t>P8</t>
  </si>
  <si>
    <t>Flanschübergangsstück</t>
  </si>
  <si>
    <t>P9.1</t>
  </si>
  <si>
    <t>Flanschmuffe</t>
  </si>
  <si>
    <t>P9.2</t>
  </si>
  <si>
    <t>Flanschadapter</t>
  </si>
  <si>
    <t>P10</t>
  </si>
  <si>
    <t>P11</t>
  </si>
  <si>
    <t>Muffenabsperrschieber</t>
  </si>
  <si>
    <t>Kugelhahn</t>
  </si>
  <si>
    <t>Absperrschieber</t>
  </si>
  <si>
    <t>nach unserer Wahl</t>
  </si>
  <si>
    <t>P12</t>
  </si>
  <si>
    <t>Satz Montagezubehör</t>
  </si>
  <si>
    <t>P13</t>
  </si>
  <si>
    <t>Hosenrohr</t>
  </si>
  <si>
    <t>P14</t>
  </si>
  <si>
    <t>Rp 1 1/2</t>
  </si>
  <si>
    <t>P15</t>
  </si>
  <si>
    <t>Dreiwegehahn</t>
  </si>
  <si>
    <t>P20</t>
  </si>
  <si>
    <t>Blindflansch</t>
  </si>
  <si>
    <t>nur für Standardausführung</t>
  </si>
  <si>
    <t>UZ150</t>
  </si>
  <si>
    <t>US100</t>
  </si>
  <si>
    <t>UZS150</t>
  </si>
  <si>
    <t>U300</t>
  </si>
  <si>
    <t>UZ300</t>
  </si>
  <si>
    <t>UZ10. - 15.450</t>
  </si>
  <si>
    <t>UZ10. - 15.900</t>
  </si>
  <si>
    <t>Preis [€]</t>
  </si>
  <si>
    <t>Kugelrückschlagventil, PN 10</t>
  </si>
  <si>
    <t>KSB-Rückflusssperre, PN 16</t>
  </si>
  <si>
    <t>PVC-Absperrschieber</t>
  </si>
  <si>
    <t>KSB-Absperrschieber</t>
  </si>
  <si>
    <t>P13.1</t>
  </si>
  <si>
    <t>Übergangsflansch GG</t>
  </si>
  <si>
    <t>U060</t>
  </si>
  <si>
    <t>Rp</t>
  </si>
  <si>
    <t>G</t>
  </si>
  <si>
    <t>DNZ1</t>
  </si>
  <si>
    <t>DNZ2</t>
  </si>
  <si>
    <t>alle</t>
  </si>
  <si>
    <t>Z</t>
  </si>
  <si>
    <t>-</t>
  </si>
  <si>
    <t>D</t>
  </si>
  <si>
    <t>ZD</t>
  </si>
  <si>
    <t>dnds</t>
  </si>
  <si>
    <t>Druckltg-Standard</t>
  </si>
  <si>
    <t>UZ450</t>
  </si>
  <si>
    <t>PN 4</t>
  </si>
  <si>
    <t>PN 10</t>
  </si>
  <si>
    <t>PN 16</t>
  </si>
  <si>
    <t>8</t>
  </si>
  <si>
    <t>9</t>
  </si>
  <si>
    <t>10</t>
  </si>
  <si>
    <t>PN 1</t>
  </si>
  <si>
    <t>11</t>
  </si>
  <si>
    <t>12</t>
  </si>
  <si>
    <t>info nutzvolumen</t>
  </si>
  <si>
    <t>für DN 100</t>
  </si>
  <si>
    <t>1 x DN 150/100 abgestuft</t>
  </si>
  <si>
    <t>Flanschübergangsstück DN 80/100,</t>
  </si>
  <si>
    <t xml:space="preserve">drehrichtungsunabhängige Gleitringdichtung SiC/SiC, </t>
  </si>
  <si>
    <t xml:space="preserve">Wellendichtring mit Ölzwischenkammer, </t>
  </si>
  <si>
    <t xml:space="preserve"> </t>
  </si>
  <si>
    <t>a_text_qmax</t>
  </si>
  <si>
    <t>a_text_hmax</t>
  </si>
  <si>
    <t>a_text_p1</t>
  </si>
  <si>
    <t>a_text_p2</t>
  </si>
  <si>
    <t>a_text_gew</t>
  </si>
  <si>
    <t>1 x DN 100</t>
  </si>
  <si>
    <t>Zulaufhöhe 250 mm</t>
  </si>
  <si>
    <t>1 x DN 200/150 abgestuft</t>
  </si>
  <si>
    <t>Zulaufhöhe 320 mm</t>
  </si>
  <si>
    <t>1 x DN 100/50 abgestuft</t>
  </si>
  <si>
    <t>a_text_druck_ber</t>
  </si>
  <si>
    <t>druck_ber_060</t>
  </si>
  <si>
    <t>druck_ber_100</t>
  </si>
  <si>
    <t>druck_ber_z150</t>
  </si>
  <si>
    <t>druck_ber_300</t>
  </si>
  <si>
    <t>druck_ber_z300</t>
  </si>
  <si>
    <t>a_text_inhalt</t>
  </si>
  <si>
    <t>a_text_abm</t>
  </si>
  <si>
    <t>a_text_anlart</t>
  </si>
  <si>
    <t>Einzel</t>
  </si>
  <si>
    <t>Doppel</t>
  </si>
  <si>
    <t>a_text_ppanz</t>
  </si>
  <si>
    <t>a_text_lrad</t>
  </si>
  <si>
    <t>GG</t>
  </si>
  <si>
    <t>a_text_wd1</t>
  </si>
  <si>
    <t>2 Wellendichtringe mit Fettzwischenkammer</t>
  </si>
  <si>
    <t>a_text_wd2</t>
  </si>
  <si>
    <t>a_text_mot_art</t>
  </si>
  <si>
    <t>a_text_span_art</t>
  </si>
  <si>
    <t>a_text_netz_ansch</t>
  </si>
  <si>
    <t>h100</t>
  </si>
  <si>
    <t>hz150</t>
  </si>
  <si>
    <t>h300</t>
  </si>
  <si>
    <t>2 x DN 100</t>
  </si>
  <si>
    <t>einschl. elastischer Schlauchverbindung</t>
  </si>
  <si>
    <t>1 x horizontal DN 50</t>
  </si>
  <si>
    <t>1 x DN 50/100 abgestuft</t>
  </si>
  <si>
    <t>180 mm</t>
  </si>
  <si>
    <t>ansch_zu_060</t>
  </si>
  <si>
    <t>ansch_zu_100</t>
  </si>
  <si>
    <t>a_text_ansch_zul</t>
  </si>
  <si>
    <t>a_text_h1</t>
  </si>
  <si>
    <t>a_text_h2</t>
  </si>
  <si>
    <t>a_text_h3</t>
  </si>
  <si>
    <t>a_text_h4</t>
  </si>
  <si>
    <t>a_text_h5</t>
  </si>
  <si>
    <t>a_text_h6</t>
  </si>
  <si>
    <t>a_text_h7</t>
  </si>
  <si>
    <t>3 x DN 150/100 abgestuft</t>
  </si>
  <si>
    <t>2 x DN 150/100 abgestuft</t>
  </si>
  <si>
    <t>2 x DN 100/50 abgestuft</t>
  </si>
  <si>
    <t>für DN 150</t>
  </si>
  <si>
    <t>a_text_v1</t>
  </si>
  <si>
    <t>a_text_v2</t>
  </si>
  <si>
    <t>a_text_mitte</t>
  </si>
  <si>
    <t>a_text_mitte_hor</t>
  </si>
  <si>
    <t>Mitte Zulauf horizontal</t>
  </si>
  <si>
    <t>wählbar 180 / 250 mm</t>
  </si>
  <si>
    <t>250 mm</t>
  </si>
  <si>
    <t>a_text_dr_an1</t>
  </si>
  <si>
    <t>a_text_dr_an2</t>
  </si>
  <si>
    <t xml:space="preserve">DN 80 einschl. </t>
  </si>
  <si>
    <t>a_text_antl</t>
  </si>
  <si>
    <t>DN 50</t>
  </si>
  <si>
    <t>DN 70</t>
  </si>
  <si>
    <t>510 x 510 x 455</t>
  </si>
  <si>
    <t>760 x 705 x 545</t>
  </si>
  <si>
    <t>1155 x 800 x 600</t>
  </si>
  <si>
    <t>1085 x 965 x 705</t>
  </si>
  <si>
    <t>DN 80 einschl. Hosenrohr,</t>
  </si>
  <si>
    <t>1155 x 800 x 660</t>
  </si>
  <si>
    <t>1085 x 965 x 590</t>
  </si>
  <si>
    <t>a_text_allg_1</t>
  </si>
  <si>
    <t>Rückflussverhinderern</t>
  </si>
  <si>
    <t>Rückflusverhinderer</t>
  </si>
  <si>
    <t>a_text_allg_2</t>
  </si>
  <si>
    <t>mehrsprachiges, graphisches Display mit Zustandsanzeige</t>
  </si>
  <si>
    <t>zulauf_dn_st</t>
  </si>
  <si>
    <t>y = -0,1816x  + 13,665</t>
  </si>
  <si>
    <t>x=(y-13,665)/(-0,1816)</t>
  </si>
  <si>
    <t>y = -0,2137x  + 17,443</t>
  </si>
  <si>
    <t>x=(y-17,443)/(-0,2137)</t>
  </si>
  <si>
    <t>y = -0,0016x2 - 0,1437x + 23,041</t>
  </si>
  <si>
    <t>x=(y-23,005)/(-0,1571); x=(y-23,589)/(-0,2028); x=(y-25,452)/(-0,2717); x=(y-27,582)/(-0,3188)</t>
  </si>
  <si>
    <t>13</t>
  </si>
  <si>
    <t>Fördermenge max</t>
  </si>
  <si>
    <t>Hmin/Qp</t>
  </si>
  <si>
    <t>14</t>
  </si>
  <si>
    <t>15</t>
  </si>
  <si>
    <t>Prüfung der Spannung</t>
  </si>
  <si>
    <t>16</t>
  </si>
  <si>
    <t>17</t>
  </si>
  <si>
    <t>18</t>
  </si>
  <si>
    <t>19</t>
  </si>
  <si>
    <t>UZ5.450</t>
  </si>
  <si>
    <t>UZ3.450</t>
  </si>
  <si>
    <t>UZ4.450</t>
  </si>
  <si>
    <t>UZ3.900</t>
  </si>
  <si>
    <t>UZ4.900</t>
  </si>
  <si>
    <t>UZ5.900</t>
  </si>
  <si>
    <t>UZ3.450_400</t>
  </si>
  <si>
    <t>UZ4.450_400</t>
  </si>
  <si>
    <t>UZ5.450_400</t>
  </si>
  <si>
    <t>UZ3.900_400</t>
  </si>
  <si>
    <t>UZ4.900_400</t>
  </si>
  <si>
    <t>UZ5.900_400</t>
  </si>
  <si>
    <t>UZ3.450 D</t>
  </si>
  <si>
    <t>UZ4.450 D</t>
  </si>
  <si>
    <t>UZ5.450 D</t>
  </si>
  <si>
    <t>UZ3.900 D</t>
  </si>
  <si>
    <t>UZ4.900 D</t>
  </si>
  <si>
    <t>UZ5.900 D</t>
  </si>
  <si>
    <t>2 x DN 150</t>
  </si>
  <si>
    <t>Zulaufhöhe 700 mm</t>
  </si>
  <si>
    <t>druck_ber_z450</t>
  </si>
  <si>
    <t>2 x DN 200/150 abgestuft</t>
  </si>
  <si>
    <t>840 x 1015 x 900</t>
  </si>
  <si>
    <t>1690 x 1015 x 900</t>
  </si>
  <si>
    <t>druck_ber_z900</t>
  </si>
  <si>
    <t>UZ900</t>
  </si>
  <si>
    <t>Projekt</t>
  </si>
  <si>
    <r>
      <t>∑</t>
    </r>
    <r>
      <rPr>
        <b/>
        <sz val="10"/>
        <rFont val="Arial"/>
        <family val="2"/>
      </rPr>
      <t xml:space="preserve"> DU:</t>
    </r>
  </si>
  <si>
    <t>20</t>
  </si>
  <si>
    <t>21</t>
  </si>
  <si>
    <t>22</t>
  </si>
  <si>
    <t>DN 100 einschl. Hosenrohr,</t>
  </si>
  <si>
    <t>dn_zub_dnds_st</t>
  </si>
  <si>
    <t>23</t>
  </si>
  <si>
    <t>Förderstrombestimmung für Entwässerungsanlagen</t>
  </si>
  <si>
    <t>ja = x</t>
  </si>
  <si>
    <t>Ermittlung Schmutzwasserabfluß</t>
  </si>
  <si>
    <t>Art Entwässerungsgegenstand</t>
  </si>
  <si>
    <t>Waschbecken, Bidet</t>
  </si>
  <si>
    <t>Dusche ohne Stöpsel</t>
  </si>
  <si>
    <t>Dusche mit Stöpsel</t>
  </si>
  <si>
    <t>Einzelurinal mit Spülkasten</t>
  </si>
  <si>
    <t>Einzelurinal mit Druckspüler</t>
  </si>
  <si>
    <t>Urinal ohne Wasserspülung</t>
  </si>
  <si>
    <t>Badewanne</t>
  </si>
  <si>
    <t>Medizinische Badewanne 200 l, Anschluß DN 100</t>
  </si>
  <si>
    <t>Küchenspüle und Geschirrspülmaschine mit  gemeinsamem Geruchsverschluß</t>
  </si>
  <si>
    <t>Geschirrspüler</t>
  </si>
  <si>
    <t>Waschmaschine bis 6 kg</t>
  </si>
  <si>
    <t>Waschmaschine bis 12 kg</t>
  </si>
  <si>
    <t>WC mit 4,0/ 4,5 Liter Spülkasten/ Druckspüler</t>
  </si>
  <si>
    <t>WC mit 6,0 Liter Spülkasten/ Druckspüler</t>
  </si>
  <si>
    <t>WC mit 7,5 Liter Spülkasten/ Druckspüler</t>
  </si>
  <si>
    <t>WC mit 9,0 Liter Spülkasten/ Druckspüler</t>
  </si>
  <si>
    <t>Bodenablauf DN 70</t>
  </si>
  <si>
    <t>Bodenablauf DN 100</t>
  </si>
  <si>
    <t>Berechnung</t>
  </si>
  <si>
    <t>Berechnungsregenspende r1:</t>
  </si>
  <si>
    <t>Eingabe</t>
  </si>
  <si>
    <t>Abflußbeiwert C1:</t>
  </si>
  <si>
    <t xml:space="preserve">Niederschlagsfläche A1: </t>
  </si>
  <si>
    <t>Berechnungsregenspende r2:</t>
  </si>
  <si>
    <t>Abflußbeiwert C2:</t>
  </si>
  <si>
    <t xml:space="preserve">Niederschlagsfläche A2: </t>
  </si>
  <si>
    <t>Berechnungsregenspende r3:</t>
  </si>
  <si>
    <t>Abflußbeiwert C3:</t>
  </si>
  <si>
    <t>Niederschlagsfläche A3:</t>
  </si>
  <si>
    <t>Dauerabfluss:</t>
  </si>
  <si>
    <t>bestimmte große Ablaufstellen, welche gleichzeitig genutzt werden</t>
  </si>
  <si>
    <t>Maximaler Abwasserzufluss</t>
  </si>
  <si>
    <t>Ermittlung Regenwasserabfluß:</t>
  </si>
  <si>
    <t>Projektdaten</t>
  </si>
  <si>
    <t>Bauvorhaben</t>
  </si>
  <si>
    <t>Erstelldatum</t>
  </si>
  <si>
    <t>Revision</t>
  </si>
  <si>
    <t>Revisionsdatum</t>
  </si>
  <si>
    <t>Bearbeiter</t>
  </si>
  <si>
    <t>Anzahl</t>
  </si>
  <si>
    <t>Gesamt</t>
  </si>
  <si>
    <t>Druckleitung *</t>
  </si>
  <si>
    <t>Zeta "gesamt"</t>
  </si>
  <si>
    <t>Vertikaler Zulauf</t>
  </si>
  <si>
    <t>Netzspannung</t>
  </si>
  <si>
    <t>Laufradform</t>
  </si>
  <si>
    <t>Doppelanlage</t>
  </si>
  <si>
    <t>Normanlage!!!</t>
  </si>
  <si>
    <t>ja/nein</t>
  </si>
  <si>
    <t>Ergebnis / Info:</t>
  </si>
  <si>
    <t>Zulässige Einsatzgrenze der Anlage</t>
  </si>
  <si>
    <t>Unsere Empfehlung:</t>
  </si>
  <si>
    <t>lfd. Nr.</t>
  </si>
  <si>
    <t>Stückzahl</t>
  </si>
  <si>
    <t>Gegenstand</t>
  </si>
  <si>
    <t>Preis je Einheit</t>
  </si>
  <si>
    <t>Betrag</t>
  </si>
  <si>
    <t>KSB Abwasser- und Fäkalienhebeanlage</t>
  </si>
  <si>
    <t>bestehend  aus:</t>
  </si>
  <si>
    <t>•</t>
  </si>
  <si>
    <t>Einem Sammelbehälter aus schlagfestem Kunststoff, mit</t>
  </si>
  <si>
    <t>Einsatzbereich</t>
  </si>
  <si>
    <t xml:space="preserve">Fördermenge </t>
  </si>
  <si>
    <t xml:space="preserve">Förderhöhe </t>
  </si>
  <si>
    <t>Inhalt</t>
  </si>
  <si>
    <t>Abmessungen</t>
  </si>
  <si>
    <t>Zulaufanschluss</t>
  </si>
  <si>
    <t>vertikal</t>
  </si>
  <si>
    <t>Druckanschluss</t>
  </si>
  <si>
    <t>Entlüftungsanschluss</t>
  </si>
  <si>
    <t>Schlauchverbindung</t>
  </si>
  <si>
    <t>Entleerungsanschluss</t>
  </si>
  <si>
    <t>DN 40, einschl. elastischer Schlauchverbindung</t>
  </si>
  <si>
    <t>(Handmembranpumpe)</t>
  </si>
  <si>
    <t>Schutzart IP 68</t>
  </si>
  <si>
    <t>Einem analogen Schwimmsensor mit direkter Niveauerfassung</t>
  </si>
  <si>
    <t>dynamische Anpassung des Schaltfeldes</t>
  </si>
  <si>
    <t>Hand–0–Automatik–Schalter</t>
  </si>
  <si>
    <t>Quittiertaster</t>
  </si>
  <si>
    <t>Meldeleuchte Hochwasser</t>
  </si>
  <si>
    <t>Sammelstörmeldung oder potentialfreie Betriebsmeldung</t>
  </si>
  <si>
    <t>(NC, NO - wählbar)</t>
  </si>
  <si>
    <t>Förderstrom</t>
  </si>
  <si>
    <t>Förderhöhe</t>
  </si>
  <si>
    <t>Temperatur (Fördergut)</t>
  </si>
  <si>
    <t>bis 40 °C, kurzzeitig bis 65 °C (5 Min)</t>
  </si>
  <si>
    <t>Drehzahl</t>
  </si>
  <si>
    <t>2800 1/min</t>
  </si>
  <si>
    <t>Versorgungsspannung</t>
  </si>
  <si>
    <t>Einschaltart</t>
  </si>
  <si>
    <t>direkt</t>
  </si>
  <si>
    <t>Fabrikat</t>
  </si>
  <si>
    <t>KSB</t>
  </si>
  <si>
    <t>Baugröße</t>
  </si>
  <si>
    <t>Elektrischer Anschluss</t>
  </si>
  <si>
    <t>- Netzanschluss</t>
  </si>
  <si>
    <t>- Motoranschluss</t>
  </si>
  <si>
    <t>4 m</t>
  </si>
  <si>
    <t xml:space="preserve">Gewicht ca. </t>
  </si>
  <si>
    <t>Bitte Kontakt mit Ihrem KSB-Betreuer aufnehmen!</t>
  </si>
  <si>
    <t>Angaben prüfen!</t>
  </si>
  <si>
    <t>Behälter? s. Hinweis!</t>
  </si>
  <si>
    <t>Standard - Lieferumfang</t>
  </si>
  <si>
    <t>Anschluss nicht vorhanden</t>
  </si>
  <si>
    <t>keine Auswahl</t>
  </si>
  <si>
    <t>nicht vorhanden</t>
  </si>
  <si>
    <t>nur für S-Rad</t>
  </si>
  <si>
    <t>Spannung nicht vorhanden</t>
  </si>
  <si>
    <t>Doppelanlage "ja"</t>
  </si>
  <si>
    <t>druckseitige Leitung verkürzen</t>
  </si>
  <si>
    <t>vertikaler Zulauf "ja"</t>
  </si>
  <si>
    <t>Qzul max = 16,5 [l/s]!</t>
  </si>
  <si>
    <t>Abwasserzufluss zu gross!</t>
  </si>
  <si>
    <t>Nur für Anlagen 10.450 - 15.900 !!!</t>
  </si>
  <si>
    <t xml:space="preserve">* Mindestnennweite  für Anlagen ohne Fäkalienzerkleinerung beträgt 80 mm - EN 12056-4 </t>
  </si>
  <si>
    <t>Hydraulikgröße</t>
  </si>
  <si>
    <t>Anlagengröße</t>
  </si>
  <si>
    <t>Anschlußhöhe ** [mm]</t>
  </si>
  <si>
    <t>Nutzvolumen [dm³]</t>
  </si>
  <si>
    <t>KSB-Identnummer</t>
  </si>
  <si>
    <t>Zubehörpreis</t>
  </si>
  <si>
    <t>Gesamtpreis</t>
  </si>
  <si>
    <t>berechnet am:</t>
  </si>
  <si>
    <t>** die empfohlene Anschlußhöhe versteht sich als "die tiefste  Anschlussmöglichkeit"</t>
  </si>
  <si>
    <t>aut. Verknüpfung mit Qm</t>
  </si>
  <si>
    <t>tz_geg</t>
  </si>
  <si>
    <t>24</t>
  </si>
  <si>
    <t>zu klein; größere DN!</t>
  </si>
  <si>
    <t>25</t>
  </si>
  <si>
    <t>Eingabe:</t>
  </si>
  <si>
    <t>26</t>
  </si>
  <si>
    <t>zu groß; empfohlen: DN</t>
  </si>
  <si>
    <t>Auswahl</t>
  </si>
  <si>
    <t>Elast. Schlauchverbindung für Zulaufleitung</t>
  </si>
  <si>
    <t>Flanschmuffe - Grauguss
 (nur für Rohre aus duktilem Gusseisen)+</t>
  </si>
  <si>
    <t>Flanschadapter - Grauguss (für Rohre aus unterschiedlichen Werkstoffen)</t>
  </si>
  <si>
    <t>nach unserer Wahl Grauguss</t>
  </si>
  <si>
    <t>Tragen Sie den Durchmesser der Zulaufleitung in mm ein, bitte:</t>
  </si>
  <si>
    <t>KSB-
Identnummer</t>
  </si>
  <si>
    <t>Stückpreis
in [€]</t>
  </si>
  <si>
    <t>Gesamtpreis [€]</t>
  </si>
  <si>
    <t>Bitte den Durchmesser der Druckleitung in mm eingeben:</t>
  </si>
  <si>
    <t>Elast. Schlauchverbindung für Druckleitung</t>
  </si>
  <si>
    <r>
      <t xml:space="preserve">Rückschlagklappe </t>
    </r>
    <r>
      <rPr>
        <b/>
        <sz val="11"/>
        <rFont val="Arial"/>
        <family val="2"/>
      </rPr>
      <t xml:space="preserve">RK,
</t>
    </r>
    <r>
      <rPr>
        <sz val="11"/>
        <rFont val="Arial"/>
        <family val="2"/>
      </rPr>
      <t>Kunststoff</t>
    </r>
  </si>
  <si>
    <t>Rp 1 1/4  ~ DN 32
oder Rp 2  ~ DN 50</t>
  </si>
  <si>
    <t>Kugelrückschlagventil
Grauguss</t>
  </si>
  <si>
    <t>G1 1/4 ~ DN 32
oder G 2 ~ DN 50</t>
  </si>
  <si>
    <t>KSB-Rückflussverhinderer</t>
  </si>
  <si>
    <t xml:space="preserve"> nur für Behälter 
450 und 900</t>
  </si>
  <si>
    <t>Muffenabsperrschieber,
CuZn</t>
  </si>
  <si>
    <t>Kugelhahn,
CuZn</t>
  </si>
  <si>
    <t>Zubehör; treffen Sie Ihre Auswahl, bitte:</t>
  </si>
  <si>
    <t>Gesamtsumme der Zubehörteile:</t>
  </si>
  <si>
    <t>Laufr-Größe? s. Hinweis!</t>
  </si>
  <si>
    <t>Achtung: Förderhöhe prüfen; Pumpenbetrieb am Kennlinienende</t>
  </si>
  <si>
    <t>Vorschlag:</t>
  </si>
  <si>
    <t>27</t>
  </si>
  <si>
    <t>28</t>
  </si>
  <si>
    <t>oder</t>
  </si>
  <si>
    <t>29</t>
  </si>
  <si>
    <t>Achtung:</t>
  </si>
  <si>
    <t>30</t>
  </si>
  <si>
    <t>Abwasserzufluss</t>
  </si>
  <si>
    <t>31</t>
  </si>
  <si>
    <t>32</t>
  </si>
  <si>
    <t>Pumpe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</si>
  <si>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</si>
  <si>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</si>
  <si>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</si>
  <si>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</si>
  <si>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</si>
  <si>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</si>
  <si>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</si>
  <si>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</si>
  <si>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</si>
  <si>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</si>
  <si>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</si>
  <si>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</si>
  <si>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</si>
  <si>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</si>
  <si>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</si>
  <si>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</si>
  <si>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</si>
  <si>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Druckleitungslänge DN</t>
  </si>
  <si>
    <t>50</t>
  </si>
  <si>
    <t>max. [m]</t>
  </si>
  <si>
    <t>51</t>
  </si>
  <si>
    <t>52</t>
  </si>
  <si>
    <t>53</t>
  </si>
  <si>
    <t>Kennlinie f. Laufrad F</t>
  </si>
  <si>
    <t>54</t>
  </si>
  <si>
    <t>Hydrl. Verluste ca.</t>
  </si>
  <si>
    <t>55</t>
  </si>
  <si>
    <t xml:space="preserve"> ! --- bitte in's Feld HV,R eintragen ---!</t>
  </si>
  <si>
    <t>56</t>
  </si>
  <si>
    <t xml:space="preserve">   rel. Arbeitszeit Tr =</t>
  </si>
  <si>
    <t>57</t>
  </si>
  <si>
    <t>58</t>
  </si>
  <si>
    <t>59</t>
  </si>
  <si>
    <t>alt. manuelle Eingabe</t>
  </si>
  <si>
    <t>60</t>
  </si>
  <si>
    <t>61</t>
  </si>
  <si>
    <t>62</t>
  </si>
  <si>
    <t>63</t>
  </si>
  <si>
    <t>64</t>
  </si>
  <si>
    <t>Die Pumpenkennlinie gilt nicht als Garantiekennlinie!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</si>
  <si>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</si>
  <si>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</si>
  <si>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</si>
  <si>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</si>
  <si>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</si>
  <si>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</si>
  <si>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</si>
  <si>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</si>
  <si>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</si>
  <si>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</si>
  <si>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</si>
  <si>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</si>
  <si>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</si>
  <si>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</si>
  <si>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</si>
  <si>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</si>
  <si>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</si>
  <si>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</si>
  <si>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</si>
  <si>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</si>
  <si>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</si>
  <si>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</si>
  <si>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</si>
  <si>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</si>
  <si>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</si>
  <si>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</si>
  <si>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</si>
  <si>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</si>
  <si>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</si>
  <si>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</si>
  <si>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</si>
  <si>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</si>
  <si>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</si>
  <si>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</si>
  <si>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</si>
  <si>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</si>
  <si>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</si>
  <si>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kleinere DN</t>
  </si>
  <si>
    <t>Nur für Behälter  450 und 900!!!</t>
  </si>
  <si>
    <t>Erhältlich nur als Ersatzteil !!!</t>
  </si>
  <si>
    <t>Hydraulik zu klein</t>
  </si>
  <si>
    <t>Stückzahl?</t>
  </si>
  <si>
    <t>Stahl</t>
  </si>
  <si>
    <t>Druckleitung ab Hosenrohr DN 100</t>
  </si>
  <si>
    <t>Druckleitung ab Hosenrohr DN 80 bzw. DN100</t>
  </si>
  <si>
    <t>29 131 555</t>
  </si>
  <si>
    <t>qi_zu_qp</t>
  </si>
  <si>
    <t>u</t>
  </si>
  <si>
    <t>zu</t>
  </si>
  <si>
    <t>&gt;2</t>
  </si>
  <si>
    <t>Anlagenart</t>
  </si>
  <si>
    <t>&lt;=2</t>
  </si>
  <si>
    <t>max. Wert Qi/Qp überschritten!!!</t>
  </si>
  <si>
    <t>! Druckleitungslänge &lt; Hgeo!; für weitere  Berechnung wird Druckleitungslänge=Hgeo verwendet</t>
  </si>
  <si>
    <t>! siehe Ergebnis / Infozeile</t>
  </si>
  <si>
    <t>29 131 631</t>
  </si>
  <si>
    <t>29 131 630</t>
  </si>
  <si>
    <t>29 131 633</t>
  </si>
  <si>
    <t>29 131 632</t>
  </si>
  <si>
    <t>29 131 642</t>
  </si>
  <si>
    <t>29 131 643</t>
  </si>
  <si>
    <t>29 131 647</t>
  </si>
  <si>
    <t>29 131 651</t>
  </si>
  <si>
    <t>29 131 644</t>
  </si>
  <si>
    <t>29 131 648</t>
  </si>
  <si>
    <t>29 131 652</t>
  </si>
  <si>
    <t>29 131 645</t>
  </si>
  <si>
    <t>29 131 649</t>
  </si>
  <si>
    <t>29 131 653</t>
  </si>
  <si>
    <t xml:space="preserve">Druckdatum: </t>
  </si>
  <si>
    <t>! Weitere Anlagen im KSB EASY-Select!</t>
  </si>
  <si>
    <t>29 131 646</t>
  </si>
  <si>
    <t>29 131 650</t>
  </si>
  <si>
    <t>Gebäudeart</t>
  </si>
  <si>
    <t>häufige Benutzung, z. B. in öffentlichen Toiletten und/ oder Duschen</t>
  </si>
  <si>
    <t>regelmäßige Benutzung, z. B. in Krankenhäusern, Schulen, Restaurants, Hotels</t>
  </si>
  <si>
    <t>unregelmäßige Benutzung, z. B. in Wohnhäusern, Pensionen, Büros, Altersheime</t>
  </si>
  <si>
    <t>Standurinal</t>
  </si>
  <si>
    <t>Küchenspüle, Ausgussbecken</t>
  </si>
  <si>
    <t>Bodenablauf DN 50</t>
  </si>
  <si>
    <t>Preisinformation</t>
  </si>
  <si>
    <t>nicht vorhanden/ nicht mehr gültig</t>
  </si>
  <si>
    <t>Materialanummer(n)</t>
  </si>
  <si>
    <t>ohne Gewähr</t>
  </si>
  <si>
    <t>Versionslaufzeit beendet!!!</t>
  </si>
  <si>
    <t>Technische Änderungen vorbehalten.</t>
  </si>
  <si>
    <t>Stand - Preis</t>
  </si>
  <si>
    <t>=WENN((WERT(qpumpe_bp_zw-qmin_allg)&lt;0)=WAHR;WENN(ISTNV(INDEX(qpumpe_bp_matrix;VERGLEICH(qzulauf/max_qz_qp;F10:F14;1)+1;2))=WAHR;2;INDEX(qpumpe_bp_matrix;VERGLEICH(qzulauf/max_qz_qp;F10:F14;1)+1;2));WENN(ISTNV(INDEX(qpumpe_bp_matrix;VERGLEICH(qzulauf/max_qz_qp;F10:F14;1)+1;2))=WAHR;1;INDEX(qpumpe_bp_matrix;VERGLEICH(qzulauf/max_qz_qp;F10:F14;1)+1;2)))</t>
  </si>
  <si>
    <t>Das Volumen der druckseitigen Rohrleitung bestimmt die Kombination Hydraulikgröße (Laufrad)/ Behälter; ggf. ist eine effizientere Anlage möglich (bei kleinerem Volumen der druckseitigen Rohrleitung)</t>
  </si>
  <si>
    <t>Laufrad qmin/max Prüfung (Tabelle Hydraulik)</t>
  </si>
  <si>
    <t>Auswertung Zuordnung Laufradgröße/Anschluss</t>
  </si>
  <si>
    <t>Auswertung_Laufradgröße/ AnschlußAnschluss</t>
  </si>
  <si>
    <t>Laufradgröße aus der Liste Anlagenbezeichnung</t>
  </si>
  <si>
    <t>Laufradeignung für's Volumenbetrachtung</t>
  </si>
  <si>
    <t>Laufradgrößenzuordnung nach Kennlinie</t>
  </si>
  <si>
    <t>Laufradgrößenzuordnung nach Volumen</t>
  </si>
  <si>
    <t>Suche nach Wert Ausertung_Anschluss in der Spalte Auswertung Anschluss</t>
  </si>
  <si>
    <t>s1</t>
  </si>
  <si>
    <t>S-Rad 1</t>
  </si>
  <si>
    <t>s2</t>
  </si>
  <si>
    <t>matrix_kennlinie_S1</t>
  </si>
  <si>
    <t>matrix_kennlinie_S2</t>
  </si>
  <si>
    <t>S1</t>
  </si>
  <si>
    <t>S2</t>
  </si>
  <si>
    <t>Kennlinie S1</t>
  </si>
  <si>
    <t>Kennlinie S2</t>
  </si>
  <si>
    <t>Q S1</t>
  </si>
  <si>
    <t>Q S2</t>
  </si>
  <si>
    <t>US1.040</t>
  </si>
  <si>
    <t>US1.100</t>
  </si>
  <si>
    <t>US2.100</t>
  </si>
  <si>
    <t>UZS1.150</t>
  </si>
  <si>
    <t>UZS2.150</t>
  </si>
  <si>
    <t>1</t>
  </si>
  <si>
    <t>2</t>
  </si>
  <si>
    <t>US1.040_230</t>
  </si>
  <si>
    <t>29 134 801</t>
  </si>
  <si>
    <t>US1.100_230</t>
  </si>
  <si>
    <t>29 131 724</t>
  </si>
  <si>
    <t>US1.100_400</t>
  </si>
  <si>
    <t>29 131 508</t>
  </si>
  <si>
    <t>US2.100_230</t>
  </si>
  <si>
    <t>29 131 725</t>
  </si>
  <si>
    <t>US2.100_400</t>
  </si>
  <si>
    <t>29 131 510</t>
  </si>
  <si>
    <t>UZS1.150_230</t>
  </si>
  <si>
    <t>UZS1.150_400</t>
  </si>
  <si>
    <t>29 131 726</t>
  </si>
  <si>
    <t>29 131 634</t>
  </si>
  <si>
    <t>UZS2.150_230</t>
  </si>
  <si>
    <t>UZS2.150_400</t>
  </si>
  <si>
    <t>29 131 727</t>
  </si>
  <si>
    <t>29 131 636</t>
  </si>
  <si>
    <t>Kennlinie f. Laufrad S</t>
  </si>
  <si>
    <t>320 x 650 x 405</t>
  </si>
  <si>
    <t>DN 50 (DN 32)</t>
  </si>
  <si>
    <t>Toleranz für vmax dnd</t>
  </si>
  <si>
    <t>DN prüfen!</t>
  </si>
  <si>
    <t>US1.040_400</t>
  </si>
  <si>
    <t>29 134 802</t>
  </si>
  <si>
    <t>32/50/80/100/150</t>
  </si>
  <si>
    <t>F/S</t>
  </si>
  <si>
    <t>x=(y-36,774)/(-2,2561);x=(y-31,2)/(-1,752); x = (y-27,566)/(-1,2802); x=(y-26,009)/(-0,9655); x=(y-25,1)/(-0,5327)</t>
  </si>
  <si>
    <t>x=(y-21,047)/(-1,3069); x=(y-19,219)/(-1,1213); x=(y-18,269)/(-0,9535);x=(y-17,964)/(-0,8204)</t>
  </si>
  <si>
    <t>y = -0,4113x + 16,708</t>
  </si>
  <si>
    <t>DN 32</t>
  </si>
  <si>
    <t>1 x DN 150/50 abgestuft</t>
  </si>
  <si>
    <t>2 x DN 50 (DN 32)</t>
  </si>
  <si>
    <t>Rückflusverhinderer mit unverengtem Durchgang und Anlüftschraube und winkelsymmetrischer Zulaustutzenstellung</t>
  </si>
  <si>
    <t>Rückflussverhinderern mit unverengtem Durchgang und Anlüftschraube</t>
  </si>
  <si>
    <t>Rückflusverhinderer mit unverengtem Durchgang und Anlüftschraube</t>
  </si>
  <si>
    <t>US040</t>
  </si>
  <si>
    <t>1 1/4</t>
  </si>
  <si>
    <t>anl_gr</t>
  </si>
  <si>
    <t>anl_gr_kennz</t>
  </si>
  <si>
    <t>A</t>
  </si>
  <si>
    <t>B</t>
  </si>
  <si>
    <t>C</t>
  </si>
  <si>
    <t>E</t>
  </si>
  <si>
    <t>Anlage mit Schneideinrichtung! Nennweite der Druckleitung DN 32 bzw. DN 50</t>
  </si>
  <si>
    <t>andere Laufradform wählen, bitte.</t>
  </si>
  <si>
    <t>ja</t>
  </si>
  <si>
    <t>U1.060_230_C</t>
  </si>
  <si>
    <t>29 131 512</t>
  </si>
  <si>
    <t>29 131 513</t>
  </si>
  <si>
    <t>U1.060_400_C</t>
  </si>
  <si>
    <t>US1.040 E</t>
  </si>
  <si>
    <t>US1.040 D</t>
  </si>
  <si>
    <t>US1.100 E</t>
  </si>
  <si>
    <t>US1.100 D</t>
  </si>
  <si>
    <t>US2.100 E</t>
  </si>
  <si>
    <t>US2.100 D</t>
  </si>
  <si>
    <t>UZS1.150 E</t>
  </si>
  <si>
    <t>UZS1.150 D</t>
  </si>
  <si>
    <t>UZS2.150 E</t>
  </si>
  <si>
    <t>UZS2.150 D</t>
  </si>
  <si>
    <t>U1.060 E/C</t>
  </si>
  <si>
    <t>U1.060 D/C</t>
  </si>
  <si>
    <t>U1.100_230_C</t>
  </si>
  <si>
    <t>U1.100_400_C</t>
  </si>
  <si>
    <t>29 131 517</t>
  </si>
  <si>
    <t>29 131 516</t>
  </si>
  <si>
    <t>U1.100 E/C</t>
  </si>
  <si>
    <t>U1.100 D/C</t>
  </si>
  <si>
    <t>U2.100_230_C</t>
  </si>
  <si>
    <t>U2.100_400_C</t>
  </si>
  <si>
    <t>29 131 519</t>
  </si>
  <si>
    <t>U2.100 E/C</t>
  </si>
  <si>
    <t>29 131 518</t>
  </si>
  <si>
    <t>U3.100_400_C</t>
  </si>
  <si>
    <t>U4.100_400_C</t>
  </si>
  <si>
    <t>U5.100_400_C</t>
  </si>
  <si>
    <t>U3.300_400_C</t>
  </si>
  <si>
    <t>U4.300_400_C</t>
  </si>
  <si>
    <t>U5.300_400_C</t>
  </si>
  <si>
    <t>29 131 744</t>
  </si>
  <si>
    <t>29 131 745</t>
  </si>
  <si>
    <t>29 131 746</t>
  </si>
  <si>
    <t>29 131 747</t>
  </si>
  <si>
    <t>29 131 748</t>
  </si>
  <si>
    <t>29 131 749</t>
  </si>
  <si>
    <t>U3.100 D/C</t>
  </si>
  <si>
    <t>U4.100 D/C</t>
  </si>
  <si>
    <t>U5.100 D/C</t>
  </si>
  <si>
    <t>U3.300 D/C</t>
  </si>
  <si>
    <t>U4.300 D/C</t>
  </si>
  <si>
    <t>U5.300 D/C</t>
  </si>
  <si>
    <t>U2.100 D/C</t>
  </si>
  <si>
    <t>UZ1.150_230_C</t>
  </si>
  <si>
    <t>UZ2.150_230_C</t>
  </si>
  <si>
    <t>UZ1.150_400_C</t>
  </si>
  <si>
    <t>UZ2.150_400_C</t>
  </si>
  <si>
    <t>UZ3.150_400_C</t>
  </si>
  <si>
    <t>UZ4.150_400_C</t>
  </si>
  <si>
    <t>UZ5.150_400_C</t>
  </si>
  <si>
    <t>UZ3.300_400_C</t>
  </si>
  <si>
    <t>UZ4.300_400_C</t>
  </si>
  <si>
    <t>UZ5.300_400_C</t>
  </si>
  <si>
    <t>UZ3.450_400_C</t>
  </si>
  <si>
    <t>UZ4.450_400_C</t>
  </si>
  <si>
    <t>UZ5.450_400_C</t>
  </si>
  <si>
    <t>UZ3.900_400_C</t>
  </si>
  <si>
    <t>UZ4.900_400_C</t>
  </si>
  <si>
    <t>UZ5.900_400_C</t>
  </si>
  <si>
    <t>29 131 639</t>
  </si>
  <si>
    <t>29 131 638</t>
  </si>
  <si>
    <t>29 131 641</t>
  </si>
  <si>
    <t>29 131 640</t>
  </si>
  <si>
    <t>UZ1.150 E/C</t>
  </si>
  <si>
    <t>UZ1.150 D/C</t>
  </si>
  <si>
    <t>UZ2.150 E/C</t>
  </si>
  <si>
    <t>UZ2.150 D/C</t>
  </si>
  <si>
    <t>29 131 772</t>
  </si>
  <si>
    <t>29 131 773</t>
  </si>
  <si>
    <t>29 131 774</t>
  </si>
  <si>
    <t>29 131 775</t>
  </si>
  <si>
    <t>29 131 776</t>
  </si>
  <si>
    <t>29 131 777</t>
  </si>
  <si>
    <t>UZ3.150 D/C</t>
  </si>
  <si>
    <t>UZ4.150 D/C</t>
  </si>
  <si>
    <t>UZ5.150 D/C</t>
  </si>
  <si>
    <t>UZ3.300 D/C</t>
  </si>
  <si>
    <t>UZ4.300 D/C</t>
  </si>
  <si>
    <t>UZ5.300 D/C</t>
  </si>
  <si>
    <t>29 131 778</t>
  </si>
  <si>
    <t>29 131 779</t>
  </si>
  <si>
    <t>29 131 780</t>
  </si>
  <si>
    <t>29 131 781</t>
  </si>
  <si>
    <t>29 131 782</t>
  </si>
  <si>
    <t>29 131 783</t>
  </si>
  <si>
    <t>UZ3.450 D/C</t>
  </si>
  <si>
    <t>UZ4.450 D/C</t>
  </si>
  <si>
    <t>UZ5.450 D/C</t>
  </si>
  <si>
    <t>UZ3.900 D/C</t>
  </si>
  <si>
    <t>UZ4.900 D/C</t>
  </si>
  <si>
    <t>UZ5.900 D/C</t>
  </si>
  <si>
    <t>Werkstoff</t>
  </si>
  <si>
    <t>Standard/C</t>
  </si>
  <si>
    <t>Standard</t>
  </si>
  <si>
    <t>PBT-GF</t>
  </si>
  <si>
    <t>a_text_schneideinr</t>
  </si>
  <si>
    <t xml:space="preserve"> und Schneideinrichtung</t>
  </si>
  <si>
    <r>
      <t>Q</t>
    </r>
    <r>
      <rPr>
        <vertAlign val="subscript"/>
        <sz val="9"/>
        <color theme="0"/>
        <rFont val="Arial"/>
        <family val="2"/>
      </rPr>
      <t>min</t>
    </r>
    <r>
      <rPr>
        <sz val="9"/>
        <color theme="0"/>
        <rFont val="Arial"/>
        <family val="2"/>
      </rPr>
      <t xml:space="preserve"> für DN</t>
    </r>
  </si>
  <si>
    <r>
      <t>Q</t>
    </r>
    <r>
      <rPr>
        <vertAlign val="subscript"/>
        <sz val="9"/>
        <color theme="0"/>
        <rFont val="Arial"/>
        <family val="2"/>
      </rPr>
      <t>max</t>
    </r>
    <r>
      <rPr>
        <sz val="9"/>
        <color theme="0"/>
        <rFont val="Arial"/>
        <family val="2"/>
      </rPr>
      <t xml:space="preserve"> für DN</t>
    </r>
  </si>
  <si>
    <t>Flanschkugelhahn 1.4408</t>
  </si>
  <si>
    <t xml:space="preserve">   die aus der "Volumenbetrachtung" der Druckleitung resultiert.</t>
  </si>
  <si>
    <t>Vervielfältigung und Weitergabe nicht erlaubt. Irrtümer und technische Änderungen vorbehalten. All rights reserved - KSB SE &amp; Co. KGaA</t>
  </si>
  <si>
    <r>
      <t>ECOLINE,</t>
    </r>
    <r>
      <rPr>
        <sz val="11"/>
        <rFont val="Arial"/>
        <family val="2"/>
      </rPr>
      <t xml:space="preserve"> EN-GJS-500-7</t>
    </r>
  </si>
  <si>
    <r>
      <t>ECOLINE</t>
    </r>
    <r>
      <rPr>
        <sz val="11"/>
        <rFont val="Arial"/>
        <family val="2"/>
      </rPr>
      <t>, EN-GJS-500-7</t>
    </r>
  </si>
  <si>
    <t>Stück-zahl</t>
  </si>
  <si>
    <t>Ersatzteilpauschale für den 10-jährigen</t>
  </si>
  <si>
    <t>US1.40 D/E, U1.60 D/E, U1.100 D/E, US1.100D/E, U2.100 D/E, US2.100 D/E</t>
  </si>
  <si>
    <t>Betrieb der mini-Compacta</t>
  </si>
  <si>
    <r>
      <t xml:space="preserve">Ersatzteilpauschale für den 10-jährigen Betrieb der mini-Compacta </t>
    </r>
    <r>
      <rPr>
        <b/>
        <sz val="11"/>
        <rFont val="Arial"/>
        <family val="2"/>
      </rPr>
      <t>US1.40 D/E, U1.60 D/E, U1.100 D/E, US1.100D/E, U2.100 D/E, US2.100 D/E</t>
    </r>
  </si>
  <si>
    <t>nur für Einzelanlagen in Standardausführung</t>
  </si>
  <si>
    <t>Druckleitungslänge</t>
  </si>
  <si>
    <r>
      <t>H</t>
    </r>
    <r>
      <rPr>
        <vertAlign val="subscript"/>
        <sz val="14"/>
        <rFont val="Arial"/>
        <family val="2"/>
      </rPr>
      <t>VRohrltg.</t>
    </r>
  </si>
  <si>
    <t>Werkstoff nicht vorhanden!</t>
  </si>
  <si>
    <t>nur für Doppelanlagen</t>
  </si>
  <si>
    <t>UZS150Standard50</t>
  </si>
  <si>
    <t>50StandardC</t>
  </si>
  <si>
    <t>UZS150C50</t>
  </si>
  <si>
    <t>UZ150Standard80</t>
  </si>
  <si>
    <t>80StandardC</t>
  </si>
  <si>
    <t>UZ150C80</t>
  </si>
  <si>
    <t>UZ300Standard80</t>
  </si>
  <si>
    <t>UZ300C80</t>
  </si>
  <si>
    <t>UZ450Standard80</t>
  </si>
  <si>
    <t>80Standard</t>
  </si>
  <si>
    <t>UZ450C80</t>
  </si>
  <si>
    <t>UZ900Standard100</t>
  </si>
  <si>
    <t>100Standard</t>
  </si>
  <si>
    <t>UZ900C100</t>
  </si>
  <si>
    <t>100C</t>
  </si>
  <si>
    <t>F</t>
  </si>
  <si>
    <r>
      <t>Anlagenzubehör mini-Compacta</t>
    </r>
    <r>
      <rPr>
        <b/>
        <vertAlign val="superscript"/>
        <sz val="12"/>
        <color theme="0"/>
        <rFont val="Arial"/>
        <family val="2"/>
      </rPr>
      <t>®</t>
    </r>
    <r>
      <rPr>
        <b/>
        <sz val="12"/>
        <color theme="0"/>
        <rFont val="Arial"/>
        <family val="2"/>
      </rPr>
      <t>/Compacta</t>
    </r>
    <r>
      <rPr>
        <b/>
        <vertAlign val="superscript"/>
        <sz val="12"/>
        <color theme="0"/>
        <rFont val="Arial"/>
        <family val="2"/>
      </rPr>
      <t>®</t>
    </r>
  </si>
  <si>
    <r>
      <t xml:space="preserve">Rückschlagklappe </t>
    </r>
    <r>
      <rPr>
        <b/>
        <sz val="8"/>
        <color theme="0"/>
        <rFont val="Arial"/>
        <family val="2"/>
      </rPr>
      <t>RK</t>
    </r>
    <r>
      <rPr>
        <sz val="8"/>
        <color theme="0"/>
        <rFont val="Arial"/>
        <family val="2"/>
      </rPr>
      <t>, PN 4</t>
    </r>
  </si>
  <si>
    <r>
      <t>ECOLINE</t>
    </r>
    <r>
      <rPr>
        <sz val="8"/>
        <color theme="0"/>
        <rFont val="Arial"/>
        <family val="2"/>
      </rPr>
      <t>, EN-GJS-500-7, PN10</t>
    </r>
  </si>
  <si>
    <r>
      <t xml:space="preserve">Handmembranpumpe </t>
    </r>
    <r>
      <rPr>
        <b/>
        <sz val="8"/>
        <color theme="0"/>
        <rFont val="Arial"/>
        <family val="2"/>
      </rPr>
      <t>LA</t>
    </r>
  </si>
  <si>
    <t>Handmembranpumpe</t>
  </si>
  <si>
    <r>
      <t xml:space="preserve">- 2022 - </t>
    </r>
    <r>
      <rPr>
        <sz val="6"/>
        <color theme="0"/>
        <rFont val="Arial"/>
        <family val="2"/>
      </rPr>
      <t>ag</t>
    </r>
  </si>
  <si>
    <t>nein</t>
  </si>
  <si>
    <r>
      <t>y = -0,0218x</t>
    </r>
    <r>
      <rPr>
        <vertAlign val="superscript"/>
        <sz val="10"/>
        <color theme="0"/>
        <rFont val="Arial"/>
        <family val="2"/>
      </rPr>
      <t>2</t>
    </r>
    <r>
      <rPr>
        <sz val="10"/>
        <color theme="0"/>
        <rFont val="Arial"/>
        <family val="2"/>
      </rPr>
      <t xml:space="preserve"> - 0,7856x + 17,979</t>
    </r>
  </si>
  <si>
    <r>
      <t>y = -0,0715x</t>
    </r>
    <r>
      <rPr>
        <vertAlign val="superscript"/>
        <sz val="9"/>
        <color theme="0"/>
        <rFont val="Arial"/>
        <family val="2"/>
      </rPr>
      <t>2</t>
    </r>
    <r>
      <rPr>
        <sz val="9"/>
        <color theme="0"/>
        <rFont val="Arial"/>
        <family val="2"/>
      </rPr>
      <t xml:space="preserve"> - 0,415x + 25,057</t>
    </r>
  </si>
  <si>
    <r>
      <t>m</t>
    </r>
    <r>
      <rPr>
        <vertAlign val="superscript"/>
        <sz val="10"/>
        <color theme="0"/>
        <rFont val="Arial"/>
        <family val="2"/>
      </rPr>
      <t>3</t>
    </r>
    <r>
      <rPr>
        <sz val="10"/>
        <color theme="0"/>
        <rFont val="Arial"/>
        <family val="2"/>
      </rPr>
      <t>/h</t>
    </r>
  </si>
  <si>
    <t>ALT2022</t>
  </si>
  <si>
    <t>ALT_2022_04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</si>
</sst>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4" formatCode="_-* #,##0.00\ &quot;€&quot;_-;\-* #,##0.00\ &quot;€&quot;_-;_-* &quot;-&quot;??\ &quot;€&quot;_-;_-@_-"/>
    <numFmt numFmtId="164" formatCode="0.0"/>
    <numFmt numFmtId="165" formatCode="0.000"/>
    <numFmt numFmtId="166" formatCode="#,##0.0"/>
    <numFmt numFmtId="167" formatCode="#,##0.00\ &quot;DM&quot;;[Red]\-#,##0.00\ &quot;DM&quot;"/>
    <numFmt numFmtId="168" formatCode="00\ 000\ 000"/>
    <numFmt numFmtId="169" formatCode="#,##0.00\ &quot;€&quot;"/>
    <numFmt numFmtId="170" formatCode="#,###.\-"/>
    <numFmt numFmtId="171" formatCode="#,##0.\-"/>
    <numFmt numFmtId="172" formatCode="00,###,##0"/>
    <numFmt numFmtId="173" formatCode="d/m/yyyy;@"/>
    <numFmt numFmtId="174" formatCode="dd/mm/yy;@"/>
    <numFmt numFmtId="175" formatCode="#,##0.00_ ;\-#,##0.00\ "/>
    <numFmt numFmtId="176" formatCode="0.00000"/>
    <numFmt numFmtId="177" formatCode="#,##0.000"/>
    <numFmt numFmtId="178" formatCode="0.0000"/>
  </numFmts>
  <fonts count="91">
    <font>
      <sz val="9"/>
      <name val="Arial"/>
    </font>
    <font>
      <sz val="9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9"/>
      <color indexed="12"/>
      <name val="Arial"/>
      <family val="2"/>
    </font>
    <font>
      <sz val="8"/>
      <name val="Arial"/>
      <family val="2"/>
    </font>
    <font>
      <vertAlign val="subscript"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i/>
      <sz val="16"/>
      <color indexed="62"/>
      <name val="Arial"/>
      <family val="2"/>
    </font>
    <font>
      <b/>
      <sz val="10"/>
      <color indexed="12"/>
      <name val="Arial"/>
      <family val="2"/>
    </font>
    <font>
      <b/>
      <sz val="8"/>
      <color indexed="81"/>
      <name val="Tahoma"/>
      <family val="2"/>
    </font>
    <font>
      <sz val="10"/>
      <color indexed="17"/>
      <name val="Arial"/>
      <family val="2"/>
    </font>
    <font>
      <b/>
      <sz val="11"/>
      <color indexed="10"/>
      <name val="Arial"/>
      <family val="2"/>
    </font>
    <font>
      <b/>
      <sz val="9"/>
      <color indexed="17"/>
      <name val="Arial"/>
      <family val="2"/>
    </font>
    <font>
      <b/>
      <sz val="10"/>
      <color indexed="17"/>
      <name val="Arial"/>
      <family val="2"/>
    </font>
    <font>
      <b/>
      <sz val="12"/>
      <color indexed="12"/>
      <name val="Arial"/>
      <family val="2"/>
    </font>
    <font>
      <sz val="10"/>
      <color indexed="8"/>
      <name val="Arial"/>
      <family val="2"/>
    </font>
    <font>
      <sz val="9"/>
      <color indexed="10"/>
      <name val="Arial"/>
      <family val="2"/>
    </font>
    <font>
      <sz val="14"/>
      <name val="Arial"/>
      <family val="2"/>
    </font>
    <font>
      <vertAlign val="subscript"/>
      <sz val="14"/>
      <name val="Arial"/>
      <family val="2"/>
    </font>
    <font>
      <u val="singleAccounting"/>
      <sz val="12"/>
      <color indexed="17"/>
      <name val="Arial"/>
      <family val="2"/>
    </font>
    <font>
      <b/>
      <i/>
      <sz val="16"/>
      <color indexed="10"/>
      <name val="Arial"/>
      <family val="2"/>
    </font>
    <font>
      <b/>
      <u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Geneva"/>
    </font>
    <font>
      <sz val="10"/>
      <name val="Helv"/>
    </font>
    <font>
      <sz val="9"/>
      <name val="Helv"/>
    </font>
    <font>
      <b/>
      <sz val="8"/>
      <name val="Arial"/>
      <family val="2"/>
    </font>
    <font>
      <sz val="8"/>
      <name val="Geneva"/>
    </font>
    <font>
      <i/>
      <sz val="9"/>
      <color indexed="62"/>
      <name val="Arial"/>
      <family val="2"/>
    </font>
    <font>
      <sz val="12"/>
      <name val="Arial"/>
      <family val="2"/>
    </font>
    <font>
      <sz val="11"/>
      <color indexed="12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4"/>
      <color indexed="12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9"/>
      <color indexed="12"/>
      <name val="Arial"/>
      <family val="2"/>
    </font>
    <font>
      <sz val="9"/>
      <color indexed="10"/>
      <name val="Arial"/>
      <family val="2"/>
    </font>
    <font>
      <u/>
      <sz val="14"/>
      <name val="Arial"/>
      <family val="2"/>
    </font>
    <font>
      <sz val="11"/>
      <color indexed="52"/>
      <name val="Arial"/>
      <family val="2"/>
    </font>
    <font>
      <sz val="11"/>
      <color indexed="52"/>
      <name val="Arial"/>
      <family val="2"/>
    </font>
    <font>
      <b/>
      <u/>
      <sz val="8"/>
      <color indexed="10"/>
      <name val="Arial"/>
      <family val="2"/>
    </font>
    <font>
      <sz val="8"/>
      <color indexed="10"/>
      <name val="Arial"/>
      <family val="2"/>
    </font>
    <font>
      <sz val="9"/>
      <name val="Helvetica"/>
      <family val="2"/>
    </font>
    <font>
      <sz val="10"/>
      <name val="Helvetica"/>
      <family val="2"/>
    </font>
    <font>
      <b/>
      <sz val="11"/>
      <name val="Helvetica"/>
      <family val="2"/>
    </font>
    <font>
      <sz val="6"/>
      <name val="Helvetica"/>
      <family val="2"/>
    </font>
    <font>
      <sz val="8"/>
      <name val="Helvetica"/>
      <family val="2"/>
    </font>
    <font>
      <b/>
      <sz val="10"/>
      <name val="Helvetica"/>
      <family val="2"/>
    </font>
    <font>
      <sz val="9"/>
      <color indexed="9"/>
      <name val="Arial"/>
      <family val="2"/>
    </font>
    <font>
      <sz val="8"/>
      <color indexed="12"/>
      <name val="Arial"/>
      <family val="2"/>
    </font>
    <font>
      <sz val="9"/>
      <color indexed="57"/>
      <name val="Arial"/>
      <family val="2"/>
    </font>
    <font>
      <sz val="9"/>
      <color indexed="52"/>
      <name val="Arial"/>
      <family val="2"/>
    </font>
    <font>
      <i/>
      <sz val="9"/>
      <name val="Arial"/>
      <family val="2"/>
    </font>
    <font>
      <i/>
      <sz val="11"/>
      <name val="Arial"/>
      <family val="2"/>
    </font>
    <font>
      <i/>
      <sz val="8"/>
      <name val="Arial"/>
      <family val="2"/>
    </font>
    <font>
      <b/>
      <i/>
      <sz val="14"/>
      <color indexed="62"/>
      <name val="Arial"/>
      <family val="2"/>
    </font>
    <font>
      <i/>
      <sz val="14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Arial"/>
      <family val="2"/>
    </font>
    <font>
      <sz val="10"/>
      <color rgb="FFFF0000"/>
      <name val="Arial"/>
      <family val="2"/>
    </font>
    <font>
      <b/>
      <i/>
      <u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i/>
      <sz val="9"/>
      <color theme="0"/>
      <name val="Arial"/>
      <family val="2"/>
    </font>
    <font>
      <vertAlign val="subscript"/>
      <sz val="9"/>
      <color theme="0"/>
      <name val="Arial"/>
      <family val="2"/>
    </font>
    <font>
      <sz val="6"/>
      <color theme="0"/>
      <name val="Arial"/>
      <family val="2"/>
    </font>
    <font>
      <sz val="11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8"/>
      <color theme="0"/>
      <name val="Arial"/>
      <family val="2"/>
    </font>
    <font>
      <i/>
      <sz val="9"/>
      <color theme="0"/>
      <name val="Arial"/>
      <family val="2"/>
    </font>
    <font>
      <sz val="12"/>
      <color theme="0"/>
      <name val="Arial"/>
      <family val="2"/>
    </font>
    <font>
      <b/>
      <sz val="11"/>
      <color theme="0"/>
      <name val="Arial"/>
      <family val="2"/>
    </font>
    <font>
      <vertAlign val="superscript"/>
      <sz val="10"/>
      <color theme="0"/>
      <name val="Arial"/>
      <family val="2"/>
    </font>
    <font>
      <vertAlign val="superscript"/>
      <sz val="9"/>
      <color theme="0"/>
      <name val="Arial"/>
      <family val="2"/>
    </font>
    <font>
      <sz val="10"/>
      <color theme="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2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17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17"/>
      </top>
      <bottom style="thin">
        <color indexed="39"/>
      </bottom>
      <diagonal/>
    </border>
    <border>
      <left/>
      <right/>
      <top style="thin">
        <color indexed="39"/>
      </top>
      <bottom style="thin">
        <color indexed="39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thin">
        <color indexed="12"/>
      </bottom>
      <diagonal/>
    </border>
    <border>
      <left style="double">
        <color indexed="12"/>
      </left>
      <right style="double">
        <color indexed="12"/>
      </right>
      <top style="thin">
        <color indexed="12"/>
      </top>
      <bottom style="thin">
        <color indexed="12"/>
      </bottom>
      <diagonal/>
    </border>
    <border>
      <left style="double">
        <color indexed="12"/>
      </left>
      <right style="double">
        <color indexed="12"/>
      </right>
      <top/>
      <bottom style="thin">
        <color indexed="12"/>
      </bottom>
      <diagonal/>
    </border>
    <border>
      <left style="double">
        <color indexed="12"/>
      </left>
      <right style="double">
        <color indexed="12"/>
      </right>
      <top style="thin">
        <color indexed="12"/>
      </top>
      <bottom style="double">
        <color indexed="1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hair">
        <color indexed="64"/>
      </bottom>
      <diagonal/>
    </border>
    <border>
      <left style="double">
        <color indexed="12"/>
      </left>
      <right style="double">
        <color indexed="12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12"/>
      </right>
      <top style="hair">
        <color indexed="64"/>
      </top>
      <bottom style="double">
        <color indexed="12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uble">
        <color indexed="12"/>
      </right>
      <top style="medium">
        <color indexed="64"/>
      </top>
      <bottom style="hair">
        <color indexed="64"/>
      </bottom>
      <diagonal/>
    </border>
    <border>
      <left style="medium">
        <color indexed="1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double">
        <color indexed="12"/>
      </right>
      <top style="hair">
        <color indexed="64"/>
      </top>
      <bottom style="hair">
        <color indexed="64"/>
      </bottom>
      <diagonal/>
    </border>
    <border>
      <left style="medium">
        <color indexed="1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12"/>
      </right>
      <top style="hair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12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12"/>
      </top>
      <bottom style="thin">
        <color indexed="1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12"/>
      </top>
      <bottom style="medium">
        <color indexed="64"/>
      </bottom>
      <diagonal/>
    </border>
    <border>
      <left/>
      <right style="medium">
        <color indexed="64"/>
      </right>
      <top style="thin">
        <color indexed="12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12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12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12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12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12"/>
      </left>
      <right style="double">
        <color indexed="64"/>
      </right>
      <top/>
      <bottom style="thin">
        <color indexed="8"/>
      </bottom>
      <diagonal/>
    </border>
    <border>
      <left style="double">
        <color indexed="12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12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double">
        <color indexed="12"/>
      </left>
      <right style="double">
        <color indexed="12"/>
      </right>
      <top/>
      <bottom style="double">
        <color indexed="12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12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12"/>
      </right>
      <top style="thin">
        <color indexed="64"/>
      </top>
      <bottom style="thin">
        <color indexed="64"/>
      </bottom>
      <diagonal/>
    </border>
    <border>
      <left style="double">
        <color indexed="1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1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2"/>
      </top>
      <bottom/>
      <diagonal/>
    </border>
    <border>
      <left/>
      <right style="double">
        <color indexed="1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 style="double">
        <color indexed="12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12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12"/>
      </right>
      <top/>
      <bottom style="thin">
        <color indexed="64"/>
      </bottom>
      <diagonal/>
    </border>
    <border>
      <left style="thin">
        <color indexed="64"/>
      </left>
      <right style="double">
        <color indexed="12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/>
      <right style="thin">
        <color indexed="64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12"/>
      </right>
      <top style="thin">
        <color indexed="64"/>
      </top>
      <bottom/>
      <diagonal/>
    </border>
    <border>
      <left style="thin">
        <color indexed="64"/>
      </left>
      <right style="double">
        <color indexed="12"/>
      </right>
      <top/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64"/>
      </right>
      <top style="thin">
        <color indexed="64"/>
      </top>
      <bottom/>
      <diagonal/>
    </border>
    <border>
      <left style="double">
        <color indexed="12"/>
      </left>
      <right style="double">
        <color indexed="12"/>
      </right>
      <top style="thin">
        <color indexed="12"/>
      </top>
      <bottom/>
      <diagonal/>
    </border>
    <border>
      <left style="double">
        <color indexed="12"/>
      </left>
      <right style="double">
        <color indexed="64"/>
      </right>
      <top style="thin">
        <color indexed="8"/>
      </top>
      <bottom/>
      <diagonal/>
    </border>
    <border>
      <left style="double">
        <color indexed="12"/>
      </left>
      <right/>
      <top style="medium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12"/>
      </right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/>
      <right/>
      <top style="thin">
        <color indexed="22"/>
      </top>
      <bottom/>
      <diagonal/>
    </border>
    <border>
      <left style="double">
        <color indexed="12"/>
      </left>
      <right style="thin">
        <color theme="1"/>
      </right>
      <top style="thin">
        <color indexed="64"/>
      </top>
      <bottom style="double">
        <color indexed="64"/>
      </bottom>
      <diagonal/>
    </border>
  </borders>
  <cellStyleXfs count="17">
    <xf numFmtId="0" fontId="0" fillId="0" borderId="0"/>
    <xf numFmtId="44" fontId="3" fillId="0" borderId="0" applyFont="0" applyFill="0" applyBorder="0" applyAlignment="0" applyProtection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1" fontId="3" fillId="0" borderId="0"/>
    <xf numFmtId="3" fontId="33" fillId="0" borderId="1">
      <alignment horizontal="left"/>
    </xf>
    <xf numFmtId="0" fontId="2" fillId="0" borderId="0"/>
    <xf numFmtId="0" fontId="3" fillId="0" borderId="0"/>
    <xf numFmtId="0" fontId="32" fillId="0" borderId="0">
      <alignment vertical="center"/>
    </xf>
    <xf numFmtId="0" fontId="3" fillId="0" borderId="0"/>
    <xf numFmtId="1" fontId="34" fillId="0" borderId="1" applyFill="0">
      <alignment horizontal="left"/>
    </xf>
    <xf numFmtId="44" fontId="1" fillId="0" borderId="0" applyFont="0" applyFill="0" applyBorder="0" applyAlignment="0" applyProtection="0"/>
  </cellStyleXfs>
  <cellXfs count="956">
    <xf numFmtId="0" fontId="0" fillId="0" borderId="0" xfId="0"/>
    <xf numFmtId="0" fontId="0" fillId="0" borderId="0" xfId="0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Border="1" applyProtection="1">
      <protection hidden="1"/>
    </xf>
    <xf numFmtId="0" fontId="5" fillId="0" borderId="0" xfId="0" applyFont="1" applyFill="1" applyBorder="1" applyProtection="1"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left" vertical="center"/>
      <protection hidden="1"/>
    </xf>
    <xf numFmtId="1" fontId="5" fillId="0" borderId="0" xfId="0" applyNumberFormat="1" applyFont="1" applyFill="1" applyBorder="1" applyAlignment="1" applyProtection="1">
      <alignment horizontal="center" vertical="center"/>
      <protection hidden="1"/>
    </xf>
    <xf numFmtId="166" fontId="5" fillId="0" borderId="0" xfId="0" applyNumberFormat="1" applyFont="1" applyFill="1" applyBorder="1" applyAlignment="1" applyProtection="1">
      <alignment horizontal="center" vertical="center"/>
      <protection hidden="1"/>
    </xf>
    <xf numFmtId="164" fontId="5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2" fontId="6" fillId="0" borderId="0" xfId="0" applyNumberFormat="1" applyFont="1" applyAlignment="1" applyProtection="1">
      <alignment horizontal="left"/>
      <protection hidden="1"/>
    </xf>
    <xf numFmtId="164" fontId="5" fillId="0" borderId="0" xfId="0" applyNumberFormat="1" applyFont="1" applyProtection="1">
      <protection hidden="1"/>
    </xf>
    <xf numFmtId="0" fontId="5" fillId="0" borderId="0" xfId="0" applyFont="1" applyAlignment="1" applyProtection="1">
      <alignment horizontal="left"/>
      <protection hidden="1"/>
    </xf>
    <xf numFmtId="0" fontId="8" fillId="2" borderId="4" xfId="0" applyFont="1" applyFill="1" applyBorder="1" applyAlignment="1" applyProtection="1">
      <alignment vertical="center"/>
      <protection hidden="1"/>
    </xf>
    <xf numFmtId="0" fontId="13" fillId="2" borderId="5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8" fillId="0" borderId="0" xfId="0" applyFont="1" applyProtection="1">
      <protection hidden="1"/>
    </xf>
    <xf numFmtId="0" fontId="19" fillId="0" borderId="3" xfId="0" applyFont="1" applyBorder="1" applyAlignment="1" applyProtection="1">
      <alignment horizontal="center" vertical="center"/>
      <protection hidden="1"/>
    </xf>
    <xf numFmtId="0" fontId="20" fillId="0" borderId="3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left" vertical="center"/>
      <protection hidden="1"/>
    </xf>
    <xf numFmtId="0" fontId="20" fillId="0" borderId="7" xfId="0" applyFont="1" applyBorder="1" applyAlignment="1" applyProtection="1">
      <alignment horizontal="center" vertical="center"/>
      <protection hidden="1"/>
    </xf>
    <xf numFmtId="0" fontId="8" fillId="2" borderId="8" xfId="0" applyFont="1" applyFill="1" applyBorder="1" applyAlignment="1" applyProtection="1">
      <alignment vertical="center"/>
      <protection hidden="1"/>
    </xf>
    <xf numFmtId="0" fontId="8" fillId="2" borderId="9" xfId="0" applyFont="1" applyFill="1" applyBorder="1" applyAlignment="1" applyProtection="1">
      <alignment vertical="center"/>
      <protection hidden="1"/>
    </xf>
    <xf numFmtId="0" fontId="8" fillId="2" borderId="3" xfId="0" applyFont="1" applyFill="1" applyBorder="1" applyAlignment="1" applyProtection="1">
      <alignment vertical="center"/>
      <protection hidden="1"/>
    </xf>
    <xf numFmtId="2" fontId="13" fillId="2" borderId="10" xfId="0" applyNumberFormat="1" applyFont="1" applyFill="1" applyBorder="1" applyAlignment="1" applyProtection="1">
      <alignment horizontal="center" vertical="center"/>
      <protection hidden="1"/>
    </xf>
    <xf numFmtId="0" fontId="8" fillId="2" borderId="11" xfId="0" applyFont="1" applyFill="1" applyBorder="1" applyAlignment="1" applyProtection="1">
      <alignment vertical="center"/>
      <protection hidden="1"/>
    </xf>
    <xf numFmtId="0" fontId="4" fillId="0" borderId="12" xfId="0" applyFont="1" applyBorder="1" applyProtection="1">
      <protection hidden="1"/>
    </xf>
    <xf numFmtId="0" fontId="0" fillId="0" borderId="12" xfId="0" applyBorder="1" applyProtection="1">
      <protection hidden="1"/>
    </xf>
    <xf numFmtId="2" fontId="21" fillId="3" borderId="13" xfId="0" applyNumberFormat="1" applyFont="1" applyFill="1" applyBorder="1" applyAlignment="1" applyProtection="1">
      <alignment horizontal="center" vertical="center"/>
      <protection locked="0" hidden="1"/>
    </xf>
    <xf numFmtId="2" fontId="13" fillId="2" borderId="14" xfId="0" applyNumberFormat="1" applyFont="1" applyFill="1" applyBorder="1" applyAlignment="1" applyProtection="1">
      <alignment horizontal="center" vertical="center"/>
      <protection hidden="1"/>
    </xf>
    <xf numFmtId="0" fontId="8" fillId="2" borderId="15" xfId="0" applyFont="1" applyFill="1" applyBorder="1" applyAlignment="1" applyProtection="1">
      <alignment vertical="center"/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13" fillId="2" borderId="16" xfId="0" applyFont="1" applyFill="1" applyBorder="1" applyAlignment="1" applyProtection="1">
      <alignment horizontal="center" vertical="center"/>
      <protection hidden="1"/>
    </xf>
    <xf numFmtId="0" fontId="13" fillId="2" borderId="10" xfId="0" applyFont="1" applyFill="1" applyBorder="1" applyAlignment="1" applyProtection="1">
      <alignment horizontal="center" vertical="center"/>
      <protection hidden="1"/>
    </xf>
    <xf numFmtId="0" fontId="5" fillId="2" borderId="17" xfId="0" applyFont="1" applyFill="1" applyBorder="1" applyAlignment="1" applyProtection="1">
      <alignment vertical="center"/>
      <protection hidden="1"/>
    </xf>
    <xf numFmtId="0" fontId="23" fillId="0" borderId="0" xfId="0" applyFont="1" applyFill="1" applyProtection="1">
      <protection hidden="1"/>
    </xf>
    <xf numFmtId="0" fontId="8" fillId="0" borderId="18" xfId="0" applyFont="1" applyBorder="1" applyAlignment="1" applyProtection="1">
      <alignment horizontal="left" vertical="center"/>
      <protection hidden="1"/>
    </xf>
    <xf numFmtId="0" fontId="5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5" fillId="0" borderId="0" xfId="0" applyFont="1" applyBorder="1" applyAlignment="1" applyProtection="1">
      <alignment horizontal="left"/>
      <protection hidden="1"/>
    </xf>
    <xf numFmtId="0" fontId="23" fillId="0" borderId="0" xfId="0" applyFont="1" applyProtection="1">
      <protection hidden="1"/>
    </xf>
    <xf numFmtId="0" fontId="17" fillId="0" borderId="12" xfId="0" applyFont="1" applyBorder="1" applyAlignment="1" applyProtection="1">
      <alignment horizontal="left"/>
      <protection hidden="1"/>
    </xf>
    <xf numFmtId="0" fontId="4" fillId="0" borderId="19" xfId="0" applyFont="1" applyBorder="1" applyProtection="1">
      <protection hidden="1"/>
    </xf>
    <xf numFmtId="0" fontId="0" fillId="0" borderId="19" xfId="0" applyBorder="1" applyProtection="1">
      <protection hidden="1"/>
    </xf>
    <xf numFmtId="0" fontId="4" fillId="0" borderId="20" xfId="0" applyFont="1" applyBorder="1" applyProtection="1">
      <protection hidden="1"/>
    </xf>
    <xf numFmtId="0" fontId="0" fillId="0" borderId="20" xfId="0" applyBorder="1" applyProtection="1">
      <protection hidden="1"/>
    </xf>
    <xf numFmtId="0" fontId="24" fillId="0" borderId="1" xfId="0" applyFont="1" applyBorder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left"/>
      <protection hidden="1"/>
    </xf>
    <xf numFmtId="4" fontId="8" fillId="0" borderId="16" xfId="0" applyNumberFormat="1" applyFont="1" applyFill="1" applyBorder="1" applyAlignment="1" applyProtection="1">
      <alignment horizontal="center" vertical="center"/>
      <protection hidden="1"/>
    </xf>
    <xf numFmtId="2" fontId="8" fillId="0" borderId="16" xfId="0" applyNumberFormat="1" applyFont="1" applyFill="1" applyBorder="1" applyAlignment="1" applyProtection="1">
      <alignment horizontal="center" vertical="center"/>
      <protection hidden="1"/>
    </xf>
    <xf numFmtId="4" fontId="8" fillId="0" borderId="21" xfId="0" applyNumberFormat="1" applyFont="1" applyFill="1" applyBorder="1" applyAlignment="1" applyProtection="1">
      <alignment horizontal="center" vertical="center"/>
      <protection hidden="1"/>
    </xf>
    <xf numFmtId="4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Protection="1">
      <protection hidden="1"/>
    </xf>
    <xf numFmtId="0" fontId="0" fillId="0" borderId="23" xfId="0" applyBorder="1" applyProtection="1">
      <protection hidden="1"/>
    </xf>
    <xf numFmtId="1" fontId="10" fillId="0" borderId="0" xfId="15" applyFont="1" applyFill="1" applyBorder="1" applyAlignment="1">
      <alignment horizontal="left"/>
    </xf>
    <xf numFmtId="1" fontId="35" fillId="0" borderId="3" xfId="15" applyFont="1" applyFill="1" applyBorder="1" applyAlignment="1">
      <alignment horizontal="left" vertical="center"/>
    </xf>
    <xf numFmtId="1" fontId="35" fillId="0" borderId="0" xfId="15" applyFont="1" applyFill="1" applyBorder="1" applyAlignment="1">
      <alignment horizontal="left" vertical="center"/>
    </xf>
    <xf numFmtId="0" fontId="27" fillId="0" borderId="24" xfId="0" applyFont="1" applyBorder="1" applyAlignment="1" applyProtection="1">
      <alignment horizontal="center" vertical="center"/>
      <protection hidden="1"/>
    </xf>
    <xf numFmtId="1" fontId="35" fillId="0" borderId="2" xfId="15" applyFont="1" applyFill="1" applyBorder="1" applyAlignment="1">
      <alignment horizontal="left" vertical="center"/>
    </xf>
    <xf numFmtId="0" fontId="0" fillId="0" borderId="0" xfId="0" applyBorder="1"/>
    <xf numFmtId="1" fontId="12" fillId="0" borderId="0" xfId="15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0" fillId="0" borderId="0" xfId="16" applyFont="1" applyBorder="1" applyAlignment="1">
      <alignment horizontal="center" vertical="center"/>
    </xf>
    <xf numFmtId="1" fontId="35" fillId="0" borderId="0" xfId="15" applyFont="1" applyFill="1" applyBorder="1" applyAlignment="1">
      <alignment horizontal="center" vertical="center"/>
    </xf>
    <xf numFmtId="0" fontId="37" fillId="0" borderId="23" xfId="0" applyFont="1" applyBorder="1" applyAlignment="1" applyProtection="1">
      <alignment horizontal="left"/>
      <protection hidden="1"/>
    </xf>
    <xf numFmtId="0" fontId="20" fillId="0" borderId="2" xfId="0" applyFont="1" applyBorder="1" applyAlignment="1" applyProtection="1">
      <alignment horizontal="center" vertical="center"/>
      <protection hidden="1"/>
    </xf>
    <xf numFmtId="0" fontId="38" fillId="0" borderId="25" xfId="0" applyFont="1" applyBorder="1" applyAlignment="1">
      <alignment horizontal="center" vertical="center"/>
    </xf>
    <xf numFmtId="1" fontId="5" fillId="0" borderId="26" xfId="15" applyFont="1" applyFill="1" applyBorder="1" applyAlignment="1">
      <alignment horizontal="left" vertical="center"/>
    </xf>
    <xf numFmtId="1" fontId="5" fillId="0" borderId="7" xfId="15" applyFont="1" applyFill="1" applyBorder="1" applyAlignment="1">
      <alignment horizontal="left" vertical="center"/>
    </xf>
    <xf numFmtId="1" fontId="5" fillId="0" borderId="27" xfId="15" applyFont="1" applyFill="1" applyBorder="1" applyAlignment="1">
      <alignment horizontal="left" vertical="center"/>
    </xf>
    <xf numFmtId="1" fontId="5" fillId="0" borderId="28" xfId="15" applyFont="1" applyFill="1" applyBorder="1" applyAlignment="1">
      <alignment horizontal="left" vertical="center"/>
    </xf>
    <xf numFmtId="1" fontId="6" fillId="0" borderId="7" xfId="15" applyFont="1" applyFill="1" applyBorder="1" applyAlignment="1">
      <alignment horizontal="left" vertical="center"/>
    </xf>
    <xf numFmtId="0" fontId="39" fillId="0" borderId="29" xfId="0" applyFont="1" applyFill="1" applyBorder="1" applyAlignment="1">
      <alignment horizontal="center" vertical="center" wrapText="1"/>
    </xf>
    <xf numFmtId="1" fontId="5" fillId="0" borderId="30" xfId="15" applyFont="1" applyFill="1" applyBorder="1" applyAlignment="1">
      <alignment horizontal="left" vertical="center"/>
    </xf>
    <xf numFmtId="1" fontId="5" fillId="0" borderId="0" xfId="15" applyFont="1" applyFill="1" applyBorder="1" applyAlignment="1">
      <alignment horizontal="left" vertical="center"/>
    </xf>
    <xf numFmtId="1" fontId="5" fillId="0" borderId="31" xfId="15" applyFont="1" applyFill="1" applyBorder="1" applyAlignment="1">
      <alignment horizontal="left" vertical="center"/>
    </xf>
    <xf numFmtId="1" fontId="5" fillId="0" borderId="3" xfId="15" applyFont="1" applyFill="1" applyBorder="1" applyAlignment="1">
      <alignment horizontal="left" vertical="center"/>
    </xf>
    <xf numFmtId="1" fontId="5" fillId="0" borderId="2" xfId="15" applyFont="1" applyFill="1" applyBorder="1" applyAlignment="1">
      <alignment horizontal="left" vertical="center"/>
    </xf>
    <xf numFmtId="1" fontId="6" fillId="0" borderId="2" xfId="15" applyFont="1" applyFill="1" applyBorder="1" applyAlignment="1">
      <alignment horizontal="left" vertical="center"/>
    </xf>
    <xf numFmtId="1" fontId="5" fillId="0" borderId="29" xfId="15" applyFont="1" applyFill="1" applyBorder="1" applyAlignment="1">
      <alignment horizontal="left" vertical="center"/>
    </xf>
    <xf numFmtId="1" fontId="5" fillId="0" borderId="32" xfId="15" applyFont="1" applyFill="1" applyBorder="1" applyAlignment="1">
      <alignment horizontal="left" vertical="center" wrapText="1"/>
    </xf>
    <xf numFmtId="0" fontId="40" fillId="4" borderId="33" xfId="0" applyFont="1" applyFill="1" applyBorder="1" applyAlignment="1">
      <alignment horizontal="center" vertical="center" wrapText="1"/>
    </xf>
    <xf numFmtId="0" fontId="40" fillId="4" borderId="34" xfId="0" applyFont="1" applyFill="1" applyBorder="1" applyAlignment="1">
      <alignment horizontal="center" vertical="center" wrapText="1"/>
    </xf>
    <xf numFmtId="0" fontId="39" fillId="0" borderId="35" xfId="0" applyFont="1" applyFill="1" applyBorder="1" applyAlignment="1">
      <alignment horizontal="center" vertical="center" wrapText="1"/>
    </xf>
    <xf numFmtId="0" fontId="39" fillId="0" borderId="36" xfId="0" applyFont="1" applyFill="1" applyBorder="1" applyAlignment="1">
      <alignment horizontal="center" vertical="center" wrapText="1"/>
    </xf>
    <xf numFmtId="1" fontId="10" fillId="0" borderId="3" xfId="15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 applyProtection="1">
      <alignment horizontal="left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left" vertical="center"/>
      <protection hidden="1"/>
    </xf>
    <xf numFmtId="0" fontId="21" fillId="5" borderId="37" xfId="0" applyFont="1" applyFill="1" applyBorder="1" applyAlignment="1" applyProtection="1">
      <alignment horizontal="center" vertical="center" wrapText="1"/>
      <protection locked="0"/>
    </xf>
    <xf numFmtId="0" fontId="21" fillId="5" borderId="38" xfId="0" applyFont="1" applyFill="1" applyBorder="1" applyAlignment="1" applyProtection="1">
      <alignment horizontal="center" vertical="center" wrapText="1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21" fillId="5" borderId="40" xfId="0" applyFont="1" applyFill="1" applyBorder="1" applyAlignment="1" applyProtection="1">
      <alignment horizontal="center" vertical="center" wrapText="1"/>
      <protection locked="0"/>
    </xf>
    <xf numFmtId="0" fontId="13" fillId="2" borderId="41" xfId="0" applyFont="1" applyFill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right" vertical="center"/>
      <protection hidden="1"/>
    </xf>
    <xf numFmtId="14" fontId="4" fillId="0" borderId="0" xfId="0" applyNumberFormat="1" applyFont="1" applyBorder="1" applyAlignment="1" applyProtection="1">
      <alignment horizontal="left" vertical="center"/>
      <protection hidden="1"/>
    </xf>
    <xf numFmtId="0" fontId="5" fillId="0" borderId="23" xfId="0" applyFont="1" applyBorder="1" applyProtection="1">
      <protection hidden="1"/>
    </xf>
    <xf numFmtId="0" fontId="8" fillId="0" borderId="42" xfId="0" applyFont="1" applyBorder="1" applyAlignment="1" applyProtection="1">
      <alignment vertical="center"/>
      <protection hidden="1"/>
    </xf>
    <xf numFmtId="0" fontId="8" fillId="0" borderId="43" xfId="0" applyFont="1" applyBorder="1" applyAlignment="1" applyProtection="1">
      <alignment vertical="center"/>
      <protection hidden="1"/>
    </xf>
    <xf numFmtId="0" fontId="8" fillId="0" borderId="44" xfId="0" applyFont="1" applyBorder="1" applyAlignment="1" applyProtection="1">
      <alignment vertical="center"/>
      <protection hidden="1"/>
    </xf>
    <xf numFmtId="0" fontId="45" fillId="0" borderId="45" xfId="0" applyFont="1" applyFill="1" applyBorder="1" applyAlignment="1" applyProtection="1">
      <alignment horizontal="center" vertical="center"/>
      <protection hidden="1"/>
    </xf>
    <xf numFmtId="14" fontId="45" fillId="0" borderId="46" xfId="0" applyNumberFormat="1" applyFont="1" applyFill="1" applyBorder="1" applyAlignment="1" applyProtection="1">
      <alignment horizontal="center" vertical="center"/>
      <protection hidden="1"/>
    </xf>
    <xf numFmtId="0" fontId="41" fillId="0" borderId="47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0" fontId="21" fillId="0" borderId="49" xfId="0" applyFont="1" applyFill="1" applyBorder="1" applyAlignment="1">
      <alignment horizontal="center" vertical="center" wrapText="1"/>
    </xf>
    <xf numFmtId="0" fontId="40" fillId="4" borderId="50" xfId="0" applyFont="1" applyFill="1" applyBorder="1" applyAlignment="1">
      <alignment horizontal="center" vertical="center"/>
    </xf>
    <xf numFmtId="0" fontId="39" fillId="0" borderId="19" xfId="0" applyFont="1" applyBorder="1" applyAlignment="1" applyProtection="1">
      <alignment horizontal="left"/>
      <protection hidden="1"/>
    </xf>
    <xf numFmtId="0" fontId="39" fillId="0" borderId="20" xfId="0" applyFont="1" applyBorder="1" applyAlignment="1" applyProtection="1">
      <alignment horizontal="left" vertical="center"/>
      <protection hidden="1"/>
    </xf>
    <xf numFmtId="164" fontId="24" fillId="0" borderId="6" xfId="15" applyNumberFormat="1" applyFont="1" applyFill="1" applyBorder="1" applyAlignment="1">
      <alignment horizontal="center" vertical="center"/>
    </xf>
    <xf numFmtId="164" fontId="24" fillId="0" borderId="51" xfId="15" applyNumberFormat="1" applyFont="1" applyFill="1" applyBorder="1" applyAlignment="1">
      <alignment horizontal="center" vertical="center"/>
    </xf>
    <xf numFmtId="164" fontId="24" fillId="0" borderId="1" xfId="15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" fontId="6" fillId="0" borderId="27" xfId="15" applyFont="1" applyFill="1" applyBorder="1" applyAlignment="1">
      <alignment horizontal="center" vertical="center" wrapText="1"/>
    </xf>
    <xf numFmtId="1" fontId="6" fillId="0" borderId="7" xfId="15" applyFont="1" applyFill="1" applyBorder="1" applyAlignment="1">
      <alignment horizontal="center" vertical="center" wrapText="1"/>
    </xf>
    <xf numFmtId="1" fontId="6" fillId="0" borderId="7" xfId="15" quotePrefix="1" applyFont="1" applyFill="1" applyBorder="1" applyAlignment="1">
      <alignment horizontal="center" vertical="center" wrapText="1"/>
    </xf>
    <xf numFmtId="0" fontId="5" fillId="0" borderId="30" xfId="0" quotePrefix="1" applyFont="1" applyFill="1" applyBorder="1" applyAlignment="1">
      <alignment horizontal="center" vertical="center" wrapText="1"/>
    </xf>
    <xf numFmtId="1" fontId="6" fillId="0" borderId="27" xfId="15" quotePrefix="1" applyFont="1" applyFill="1" applyBorder="1" applyAlignment="1">
      <alignment horizontal="center" vertical="center" wrapText="1"/>
    </xf>
    <xf numFmtId="2" fontId="21" fillId="0" borderId="13" xfId="0" applyNumberFormat="1" applyFont="1" applyFill="1" applyBorder="1" applyAlignment="1" applyProtection="1">
      <alignment horizontal="center" vertical="center"/>
      <protection hidden="1"/>
    </xf>
    <xf numFmtId="0" fontId="28" fillId="0" borderId="0" xfId="12" applyFont="1" applyProtection="1"/>
    <xf numFmtId="0" fontId="13" fillId="0" borderId="0" xfId="12" applyFont="1" applyProtection="1"/>
    <xf numFmtId="0" fontId="7" fillId="0" borderId="0" xfId="12" applyFont="1" applyProtection="1"/>
    <xf numFmtId="0" fontId="7" fillId="0" borderId="0" xfId="12" applyFont="1" applyAlignment="1" applyProtection="1">
      <alignment vertical="center"/>
    </xf>
    <xf numFmtId="0" fontId="7" fillId="0" borderId="0" xfId="12" applyFont="1" applyFill="1" applyProtection="1"/>
    <xf numFmtId="0" fontId="4" fillId="0" borderId="0" xfId="12" applyFont="1" applyProtection="1"/>
    <xf numFmtId="14" fontId="45" fillId="0" borderId="52" xfId="0" applyNumberFormat="1" applyFont="1" applyFill="1" applyBorder="1" applyAlignment="1" applyProtection="1">
      <alignment horizontal="center" vertical="center"/>
      <protection hidden="1"/>
    </xf>
    <xf numFmtId="0" fontId="4" fillId="0" borderId="42" xfId="12" applyFont="1" applyBorder="1" applyProtection="1"/>
    <xf numFmtId="0" fontId="4" fillId="0" borderId="43" xfId="12" applyFont="1" applyBorder="1" applyProtection="1"/>
    <xf numFmtId="0" fontId="4" fillId="0" borderId="44" xfId="12" applyFont="1" applyBorder="1" applyProtection="1"/>
    <xf numFmtId="0" fontId="7" fillId="0" borderId="53" xfId="12" applyFont="1" applyFill="1" applyBorder="1" applyAlignment="1" applyProtection="1">
      <alignment vertical="center" wrapText="1"/>
    </xf>
    <xf numFmtId="164" fontId="7" fillId="0" borderId="46" xfId="12" applyNumberFormat="1" applyFont="1" applyFill="1" applyBorder="1" applyAlignment="1" applyProtection="1">
      <alignment horizontal="center" vertical="center"/>
    </xf>
    <xf numFmtId="0" fontId="7" fillId="0" borderId="54" xfId="12" applyFont="1" applyFill="1" applyBorder="1" applyAlignment="1" applyProtection="1">
      <alignment vertical="center"/>
    </xf>
    <xf numFmtId="0" fontId="45" fillId="0" borderId="55" xfId="0" applyFont="1" applyFill="1" applyBorder="1" applyAlignment="1" applyProtection="1">
      <alignment horizontal="center" vertical="center"/>
      <protection hidden="1"/>
    </xf>
    <xf numFmtId="0" fontId="4" fillId="0" borderId="0" xfId="12" applyFont="1" applyAlignment="1" applyProtection="1">
      <alignment vertical="center"/>
    </xf>
    <xf numFmtId="0" fontId="45" fillId="0" borderId="56" xfId="0" applyFont="1" applyFill="1" applyBorder="1" applyAlignment="1" applyProtection="1">
      <alignment vertical="center"/>
      <protection hidden="1"/>
    </xf>
    <xf numFmtId="0" fontId="30" fillId="0" borderId="45" xfId="0" applyFont="1" applyFill="1" applyBorder="1" applyAlignment="1" applyProtection="1">
      <alignment horizontal="left" vertical="center"/>
      <protection hidden="1"/>
    </xf>
    <xf numFmtId="0" fontId="45" fillId="5" borderId="52" xfId="0" applyFont="1" applyFill="1" applyBorder="1" applyAlignment="1" applyProtection="1">
      <alignment vertical="center"/>
      <protection locked="0" hidden="1"/>
    </xf>
    <xf numFmtId="173" fontId="3" fillId="5" borderId="45" xfId="0" applyNumberFormat="1" applyFont="1" applyFill="1" applyBorder="1" applyAlignment="1" applyProtection="1">
      <alignment vertical="center"/>
      <protection locked="0" hidden="1"/>
    </xf>
    <xf numFmtId="0" fontId="4" fillId="5" borderId="0" xfId="12" applyFont="1" applyFill="1" applyProtection="1">
      <protection locked="0"/>
    </xf>
    <xf numFmtId="0" fontId="45" fillId="5" borderId="55" xfId="0" applyFont="1" applyFill="1" applyBorder="1" applyAlignment="1" applyProtection="1">
      <alignment horizontal="center" vertical="center"/>
      <protection locked="0" hidden="1"/>
    </xf>
    <xf numFmtId="0" fontId="45" fillId="0" borderId="52" xfId="0" applyFont="1" applyFill="1" applyBorder="1" applyAlignment="1" applyProtection="1">
      <alignment horizontal="center" vertical="center"/>
      <protection hidden="1"/>
    </xf>
    <xf numFmtId="0" fontId="45" fillId="0" borderId="52" xfId="0" applyFont="1" applyFill="1" applyBorder="1" applyAlignment="1" applyProtection="1">
      <alignment horizontal="left" vertical="center"/>
      <protection hidden="1"/>
    </xf>
    <xf numFmtId="0" fontId="45" fillId="0" borderId="55" xfId="0" applyFont="1" applyFill="1" applyBorder="1" applyAlignment="1" applyProtection="1">
      <alignment horizontal="left" vertical="center"/>
      <protection hidden="1"/>
    </xf>
    <xf numFmtId="0" fontId="7" fillId="0" borderId="0" xfId="12" applyFont="1" applyFill="1" applyBorder="1" applyAlignment="1" applyProtection="1">
      <alignment vertical="center"/>
    </xf>
    <xf numFmtId="0" fontId="7" fillId="0" borderId="25" xfId="12" applyFont="1" applyFill="1" applyBorder="1" applyAlignment="1" applyProtection="1">
      <alignment vertical="center"/>
    </xf>
    <xf numFmtId="2" fontId="12" fillId="0" borderId="34" xfId="12" applyNumberFormat="1" applyFont="1" applyFill="1" applyBorder="1" applyAlignment="1" applyProtection="1">
      <alignment horizontal="center" vertical="center"/>
    </xf>
    <xf numFmtId="1" fontId="35" fillId="0" borderId="57" xfId="15" applyFont="1" applyFill="1" applyBorder="1" applyAlignment="1">
      <alignment horizontal="left" vertical="center"/>
    </xf>
    <xf numFmtId="1" fontId="10" fillId="0" borderId="30" xfId="15" applyFont="1" applyFill="1" applyBorder="1" applyAlignment="1">
      <alignment horizontal="left" vertical="center"/>
    </xf>
    <xf numFmtId="0" fontId="5" fillId="0" borderId="42" xfId="0" applyFont="1" applyBorder="1" applyAlignment="1" applyProtection="1">
      <alignment vertical="center"/>
      <protection hidden="1"/>
    </xf>
    <xf numFmtId="0" fontId="5" fillId="0" borderId="43" xfId="0" applyFont="1" applyBorder="1" applyAlignment="1" applyProtection="1">
      <alignment vertical="center"/>
      <protection hidden="1"/>
    </xf>
    <xf numFmtId="0" fontId="5" fillId="0" borderId="44" xfId="0" applyFont="1" applyBorder="1" applyAlignment="1" applyProtection="1">
      <alignment vertical="center"/>
      <protection hidden="1"/>
    </xf>
    <xf numFmtId="14" fontId="3" fillId="0" borderId="58" xfId="0" applyNumberFormat="1" applyFont="1" applyFill="1" applyBorder="1" applyAlignment="1" applyProtection="1">
      <alignment horizontal="center" vertical="center"/>
      <protection hidden="1"/>
    </xf>
    <xf numFmtId="0" fontId="48" fillId="0" borderId="0" xfId="12" applyFont="1" applyProtection="1"/>
    <xf numFmtId="0" fontId="31" fillId="0" borderId="59" xfId="12" applyFont="1" applyFill="1" applyBorder="1" applyAlignment="1" applyProtection="1">
      <alignment horizontal="center" vertical="center"/>
    </xf>
    <xf numFmtId="0" fontId="31" fillId="0" borderId="60" xfId="12" applyFont="1" applyFill="1" applyBorder="1" applyAlignment="1" applyProtection="1">
      <alignment horizontal="center" vertical="center"/>
    </xf>
    <xf numFmtId="0" fontId="4" fillId="0" borderId="0" xfId="12" applyFont="1" applyFill="1" applyBorder="1" applyAlignment="1" applyProtection="1">
      <alignment vertical="center"/>
    </xf>
    <xf numFmtId="0" fontId="4" fillId="0" borderId="25" xfId="12" applyFont="1" applyFill="1" applyBorder="1" applyAlignment="1" applyProtection="1">
      <alignment vertical="center"/>
    </xf>
    <xf numFmtId="0" fontId="12" fillId="0" borderId="47" xfId="12" applyFont="1" applyFill="1" applyBorder="1" applyAlignment="1" applyProtection="1">
      <alignment horizontal="left" vertical="center"/>
    </xf>
    <xf numFmtId="0" fontId="12" fillId="0" borderId="61" xfId="12" applyFont="1" applyFill="1" applyBorder="1" applyAlignment="1" applyProtection="1">
      <alignment horizontal="center" vertical="center"/>
    </xf>
    <xf numFmtId="0" fontId="12" fillId="0" borderId="62" xfId="12" applyFont="1" applyFill="1" applyBorder="1" applyAlignment="1" applyProtection="1">
      <alignment horizontal="center" vertical="center"/>
    </xf>
    <xf numFmtId="0" fontId="7" fillId="0" borderId="63" xfId="12" applyFont="1" applyFill="1" applyBorder="1" applyAlignment="1" applyProtection="1">
      <alignment vertical="center"/>
    </xf>
    <xf numFmtId="164" fontId="7" fillId="0" borderId="64" xfId="12" applyNumberFormat="1" applyFont="1" applyFill="1" applyBorder="1" applyAlignment="1" applyProtection="1">
      <alignment horizontal="center" vertical="center"/>
    </xf>
    <xf numFmtId="0" fontId="15" fillId="5" borderId="65" xfId="12" applyFont="1" applyFill="1" applyBorder="1" applyAlignment="1" applyProtection="1">
      <alignment horizontal="center" vertical="center"/>
      <protection locked="0"/>
    </xf>
    <xf numFmtId="0" fontId="7" fillId="0" borderId="53" xfId="12" applyFont="1" applyFill="1" applyBorder="1" applyAlignment="1" applyProtection="1">
      <alignment vertical="center"/>
    </xf>
    <xf numFmtId="0" fontId="15" fillId="5" borderId="66" xfId="12" applyFont="1" applyFill="1" applyBorder="1" applyAlignment="1" applyProtection="1">
      <alignment horizontal="center" vertical="center"/>
      <protection locked="0"/>
    </xf>
    <xf numFmtId="0" fontId="7" fillId="0" borderId="67" xfId="12" applyFont="1" applyFill="1" applyBorder="1" applyAlignment="1" applyProtection="1">
      <alignment vertical="center"/>
    </xf>
    <xf numFmtId="164" fontId="7" fillId="0" borderId="68" xfId="12" applyNumberFormat="1" applyFont="1" applyFill="1" applyBorder="1" applyAlignment="1" applyProtection="1">
      <alignment horizontal="center" vertical="center"/>
    </xf>
    <xf numFmtId="0" fontId="15" fillId="5" borderId="69" xfId="12" applyFont="1" applyFill="1" applyBorder="1" applyAlignment="1" applyProtection="1">
      <alignment horizontal="center" vertical="center"/>
      <protection locked="0"/>
    </xf>
    <xf numFmtId="164" fontId="7" fillId="0" borderId="0" xfId="12" applyNumberFormat="1" applyFont="1" applyFill="1" applyBorder="1" applyAlignment="1" applyProtection="1">
      <alignment vertical="center"/>
    </xf>
    <xf numFmtId="0" fontId="12" fillId="0" borderId="0" xfId="12" applyFont="1" applyFill="1" applyBorder="1" applyAlignment="1" applyProtection="1">
      <alignment horizontal="center" vertical="center"/>
    </xf>
    <xf numFmtId="0" fontId="29" fillId="0" borderId="0" xfId="12" applyFont="1" applyFill="1" applyAlignment="1" applyProtection="1">
      <alignment vertical="center"/>
    </xf>
    <xf numFmtId="0" fontId="7" fillId="0" borderId="0" xfId="12" applyFont="1" applyFill="1" applyAlignment="1" applyProtection="1">
      <alignment vertical="center"/>
    </xf>
    <xf numFmtId="0" fontId="12" fillId="0" borderId="70" xfId="12" applyFont="1" applyFill="1" applyBorder="1" applyAlignment="1" applyProtection="1">
      <alignment horizontal="center" vertical="center"/>
    </xf>
    <xf numFmtId="0" fontId="12" fillId="0" borderId="71" xfId="12" applyFont="1" applyFill="1" applyBorder="1" applyAlignment="1" applyProtection="1">
      <alignment horizontal="right" vertical="center"/>
    </xf>
    <xf numFmtId="0" fontId="7" fillId="0" borderId="49" xfId="12" applyFont="1" applyFill="1" applyBorder="1" applyAlignment="1" applyProtection="1">
      <alignment vertical="center"/>
    </xf>
    <xf numFmtId="0" fontId="7" fillId="0" borderId="72" xfId="12" applyFont="1" applyFill="1" applyBorder="1" applyAlignment="1" applyProtection="1">
      <alignment vertical="center"/>
    </xf>
    <xf numFmtId="0" fontId="7" fillId="0" borderId="73" xfId="12" applyFont="1" applyFill="1" applyBorder="1" applyAlignment="1" applyProtection="1">
      <alignment vertical="center"/>
    </xf>
    <xf numFmtId="0" fontId="46" fillId="0" borderId="74" xfId="12" applyFont="1" applyFill="1" applyBorder="1" applyAlignment="1" applyProtection="1">
      <alignment vertical="center"/>
    </xf>
    <xf numFmtId="0" fontId="4" fillId="0" borderId="75" xfId="12" applyFont="1" applyFill="1" applyBorder="1" applyAlignment="1" applyProtection="1">
      <alignment horizontal="center" vertical="center"/>
    </xf>
    <xf numFmtId="0" fontId="7" fillId="0" borderId="76" xfId="12" applyFont="1" applyFill="1" applyBorder="1" applyAlignment="1" applyProtection="1">
      <alignment horizontal="center" vertical="center"/>
    </xf>
    <xf numFmtId="0" fontId="7" fillId="0" borderId="77" xfId="12" applyFont="1" applyFill="1" applyBorder="1" applyAlignment="1" applyProtection="1">
      <alignment vertical="center"/>
    </xf>
    <xf numFmtId="0" fontId="7" fillId="0" borderId="52" xfId="12" applyFont="1" applyFill="1" applyBorder="1" applyAlignment="1" applyProtection="1">
      <alignment vertical="center"/>
    </xf>
    <xf numFmtId="0" fontId="46" fillId="0" borderId="78" xfId="12" applyFont="1" applyFill="1" applyBorder="1" applyAlignment="1" applyProtection="1">
      <alignment vertical="center"/>
    </xf>
    <xf numFmtId="0" fontId="4" fillId="0" borderId="79" xfId="12" applyFont="1" applyFill="1" applyBorder="1" applyAlignment="1" applyProtection="1">
      <alignment horizontal="center" vertical="center"/>
    </xf>
    <xf numFmtId="0" fontId="7" fillId="0" borderId="52" xfId="12" applyFont="1" applyFill="1" applyBorder="1" applyAlignment="1" applyProtection="1">
      <alignment horizontal="center" vertical="center"/>
    </xf>
    <xf numFmtId="0" fontId="7" fillId="0" borderId="80" xfId="12" applyFont="1" applyFill="1" applyBorder="1" applyAlignment="1" applyProtection="1">
      <alignment vertical="center"/>
    </xf>
    <xf numFmtId="0" fontId="46" fillId="0" borderId="81" xfId="12" applyFont="1" applyFill="1" applyBorder="1" applyAlignment="1" applyProtection="1">
      <alignment vertical="center"/>
    </xf>
    <xf numFmtId="0" fontId="15" fillId="5" borderId="82" xfId="12" applyFont="1" applyFill="1" applyBorder="1" applyAlignment="1" applyProtection="1">
      <alignment horizontal="center" vertical="center"/>
      <protection locked="0"/>
    </xf>
    <xf numFmtId="0" fontId="4" fillId="0" borderId="83" xfId="12" applyFont="1" applyFill="1" applyBorder="1" applyAlignment="1" applyProtection="1">
      <alignment horizontal="center" vertical="center"/>
    </xf>
    <xf numFmtId="0" fontId="15" fillId="5" borderId="84" xfId="12" applyFont="1" applyFill="1" applyBorder="1" applyAlignment="1" applyProtection="1">
      <alignment horizontal="center" vertical="center"/>
      <protection locked="0"/>
    </xf>
    <xf numFmtId="0" fontId="12" fillId="0" borderId="0" xfId="12" applyFont="1" applyFill="1" applyBorder="1" applyAlignment="1" applyProtection="1">
      <alignment vertical="center"/>
    </xf>
    <xf numFmtId="0" fontId="7" fillId="0" borderId="85" xfId="12" applyFont="1" applyFill="1" applyBorder="1" applyAlignment="1" applyProtection="1">
      <alignment vertical="center"/>
    </xf>
    <xf numFmtId="0" fontId="7" fillId="0" borderId="86" xfId="12" applyFont="1" applyFill="1" applyBorder="1" applyAlignment="1" applyProtection="1">
      <alignment vertical="center"/>
    </xf>
    <xf numFmtId="2" fontId="7" fillId="0" borderId="87" xfId="12" applyNumberFormat="1" applyFont="1" applyFill="1" applyBorder="1" applyAlignment="1" applyProtection="1">
      <alignment vertical="center"/>
    </xf>
    <xf numFmtId="0" fontId="7" fillId="0" borderId="62" xfId="12" applyFont="1" applyFill="1" applyBorder="1" applyAlignment="1" applyProtection="1">
      <alignment vertical="center"/>
    </xf>
    <xf numFmtId="0" fontId="12" fillId="0" borderId="88" xfId="12" applyFont="1" applyFill="1" applyBorder="1" applyAlignment="1" applyProtection="1">
      <alignment vertical="center"/>
    </xf>
    <xf numFmtId="0" fontId="46" fillId="0" borderId="0" xfId="12" applyFont="1" applyFill="1" applyBorder="1" applyAlignment="1" applyProtection="1">
      <alignment vertical="center"/>
    </xf>
    <xf numFmtId="0" fontId="31" fillId="0" borderId="89" xfId="12" applyFont="1" applyFill="1" applyBorder="1" applyAlignment="1" applyProtection="1">
      <alignment horizontal="center" vertical="center"/>
    </xf>
    <xf numFmtId="0" fontId="12" fillId="0" borderId="90" xfId="12" applyFont="1" applyFill="1" applyBorder="1" applyAlignment="1" applyProtection="1">
      <alignment vertical="center"/>
    </xf>
    <xf numFmtId="2" fontId="12" fillId="0" borderId="91" xfId="12" applyNumberFormat="1" applyFont="1" applyFill="1" applyBorder="1" applyAlignment="1" applyProtection="1">
      <alignment horizontal="center" vertical="center"/>
    </xf>
    <xf numFmtId="0" fontId="31" fillId="0" borderId="92" xfId="12" applyFont="1" applyFill="1" applyBorder="1" applyAlignment="1" applyProtection="1">
      <alignment horizontal="center" vertical="center"/>
    </xf>
    <xf numFmtId="164" fontId="7" fillId="0" borderId="93" xfId="12" applyNumberFormat="1" applyFont="1" applyFill="1" applyBorder="1" applyAlignment="1" applyProtection="1">
      <alignment horizontal="center" vertical="center"/>
    </xf>
    <xf numFmtId="0" fontId="7" fillId="0" borderId="94" xfId="12" applyFont="1" applyFill="1" applyBorder="1" applyAlignment="1" applyProtection="1">
      <alignment horizontal="center" vertical="center"/>
    </xf>
    <xf numFmtId="0" fontId="7" fillId="0" borderId="95" xfId="12" applyFont="1" applyFill="1" applyBorder="1" applyAlignment="1" applyProtection="1">
      <alignment vertical="center"/>
    </xf>
    <xf numFmtId="0" fontId="7" fillId="0" borderId="87" xfId="12" applyFont="1" applyFill="1" applyBorder="1" applyAlignment="1" applyProtection="1">
      <alignment vertical="center"/>
    </xf>
    <xf numFmtId="0" fontId="4" fillId="0" borderId="96" xfId="12" applyFont="1" applyFill="1" applyBorder="1" applyAlignment="1" applyProtection="1">
      <alignment vertical="center"/>
    </xf>
    <xf numFmtId="0" fontId="7" fillId="0" borderId="97" xfId="12" applyFont="1" applyFill="1" applyBorder="1" applyAlignment="1" applyProtection="1">
      <alignment horizontal="right" vertical="center"/>
    </xf>
    <xf numFmtId="0" fontId="7" fillId="0" borderId="62" xfId="12" applyFont="1" applyFill="1" applyBorder="1" applyAlignment="1" applyProtection="1">
      <alignment horizontal="center" vertical="center"/>
    </xf>
    <xf numFmtId="0" fontId="7" fillId="0" borderId="51" xfId="12" applyFont="1" applyFill="1" applyBorder="1" applyAlignment="1" applyProtection="1">
      <alignment vertical="center"/>
    </xf>
    <xf numFmtId="0" fontId="12" fillId="0" borderId="34" xfId="12" applyFont="1" applyFill="1" applyBorder="1" applyAlignment="1" applyProtection="1">
      <alignment horizontal="center" vertical="center"/>
    </xf>
    <xf numFmtId="0" fontId="7" fillId="0" borderId="50" xfId="12" applyFont="1" applyFill="1" applyBorder="1" applyAlignment="1" applyProtection="1">
      <alignment horizontal="center" vertical="center"/>
    </xf>
    <xf numFmtId="0" fontId="29" fillId="0" borderId="0" xfId="12" applyFont="1" applyFill="1" applyBorder="1" applyAlignment="1" applyProtection="1">
      <alignment vertical="center"/>
    </xf>
    <xf numFmtId="2" fontId="12" fillId="0" borderId="0" xfId="12" applyNumberFormat="1" applyFont="1" applyFill="1" applyBorder="1" applyAlignment="1" applyProtection="1">
      <alignment vertical="center"/>
    </xf>
    <xf numFmtId="0" fontId="7" fillId="0" borderId="88" xfId="12" applyFont="1" applyFill="1" applyBorder="1" applyAlignment="1" applyProtection="1">
      <alignment vertical="center"/>
    </xf>
    <xf numFmtId="0" fontId="7" fillId="0" borderId="32" xfId="12" applyFont="1" applyFill="1" applyBorder="1" applyAlignment="1" applyProtection="1">
      <alignment horizontal="center" vertical="center"/>
    </xf>
    <xf numFmtId="0" fontId="12" fillId="0" borderId="51" xfId="12" applyFont="1" applyFill="1" applyBorder="1" applyAlignment="1" applyProtection="1">
      <alignment vertical="center"/>
    </xf>
    <xf numFmtId="2" fontId="31" fillId="0" borderId="34" xfId="12" applyNumberFormat="1" applyFont="1" applyFill="1" applyBorder="1" applyAlignment="1" applyProtection="1">
      <alignment horizontal="center" vertical="center"/>
    </xf>
    <xf numFmtId="0" fontId="12" fillId="0" borderId="85" xfId="12" applyFont="1" applyFill="1" applyBorder="1" applyAlignment="1" applyProtection="1">
      <alignment vertical="center"/>
    </xf>
    <xf numFmtId="0" fontId="4" fillId="0" borderId="86" xfId="12" applyFont="1" applyFill="1" applyBorder="1" applyAlignment="1" applyProtection="1">
      <alignment vertical="center"/>
    </xf>
    <xf numFmtId="0" fontId="31" fillId="0" borderId="98" xfId="12" applyFont="1" applyFill="1" applyBorder="1" applyAlignment="1" applyProtection="1">
      <alignment horizontal="center" vertical="center"/>
    </xf>
    <xf numFmtId="0" fontId="7" fillId="0" borderId="90" xfId="12" applyFont="1" applyFill="1" applyBorder="1" applyAlignment="1" applyProtection="1">
      <alignment vertical="center"/>
    </xf>
    <xf numFmtId="0" fontId="7" fillId="0" borderId="99" xfId="12" applyFont="1" applyFill="1" applyBorder="1" applyAlignment="1" applyProtection="1">
      <alignment vertical="center"/>
    </xf>
    <xf numFmtId="0" fontId="4" fillId="0" borderId="100" xfId="12" applyFont="1" applyFill="1" applyBorder="1" applyAlignment="1" applyProtection="1">
      <alignment vertical="center"/>
    </xf>
    <xf numFmtId="0" fontId="7" fillId="0" borderId="23" xfId="12" applyFont="1" applyBorder="1" applyAlignment="1" applyProtection="1">
      <alignment vertical="center"/>
    </xf>
    <xf numFmtId="0" fontId="49" fillId="0" borderId="0" xfId="0" applyFont="1" applyBorder="1" applyAlignment="1" applyProtection="1">
      <alignment horizontal="left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50" fillId="0" borderId="0" xfId="0" applyFont="1" applyAlignment="1" applyProtection="1">
      <alignment horizontal="left" vertical="center"/>
      <protection hidden="1"/>
    </xf>
    <xf numFmtId="0" fontId="45" fillId="0" borderId="0" xfId="0" applyFont="1" applyFill="1" applyBorder="1" applyAlignment="1" applyProtection="1">
      <alignment vertical="center"/>
      <protection hidden="1"/>
    </xf>
    <xf numFmtId="0" fontId="45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/>
    <xf numFmtId="0" fontId="4" fillId="0" borderId="0" xfId="0" applyFont="1" applyFill="1" applyBorder="1"/>
    <xf numFmtId="0" fontId="51" fillId="0" borderId="0" xfId="12" applyFont="1" applyAlignment="1" applyProtection="1">
      <alignment vertical="center"/>
    </xf>
    <xf numFmtId="0" fontId="52" fillId="0" borderId="0" xfId="12" applyFont="1" applyAlignment="1" applyProtection="1">
      <alignment vertical="center"/>
    </xf>
    <xf numFmtId="2" fontId="12" fillId="0" borderId="0" xfId="12" applyNumberFormat="1" applyFont="1" applyFill="1" applyBorder="1" applyAlignment="1" applyProtection="1">
      <alignment horizontal="center" vertical="center"/>
    </xf>
    <xf numFmtId="0" fontId="31" fillId="0" borderId="0" xfId="12" applyFont="1" applyFill="1" applyBorder="1" applyAlignment="1" applyProtection="1">
      <alignment horizontal="center" vertical="center"/>
    </xf>
    <xf numFmtId="0" fontId="40" fillId="0" borderId="88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 applyProtection="1">
      <alignment vertical="center"/>
      <protection hidden="1"/>
    </xf>
    <xf numFmtId="175" fontId="29" fillId="0" borderId="101" xfId="16" applyNumberFormat="1" applyFont="1" applyFill="1" applyBorder="1" applyAlignment="1">
      <alignment horizontal="center" vertical="center"/>
    </xf>
    <xf numFmtId="175" fontId="29" fillId="0" borderId="102" xfId="16" applyNumberFormat="1" applyFont="1" applyFill="1" applyBorder="1" applyAlignment="1">
      <alignment horizontal="center" vertical="center"/>
    </xf>
    <xf numFmtId="175" fontId="29" fillId="0" borderId="103" xfId="16" applyNumberFormat="1" applyFont="1" applyFill="1" applyBorder="1" applyAlignment="1">
      <alignment horizontal="center" vertical="center"/>
    </xf>
    <xf numFmtId="4" fontId="29" fillId="0" borderId="104" xfId="0" applyNumberFormat="1" applyFont="1" applyFill="1" applyBorder="1" applyAlignment="1">
      <alignment horizontal="center" vertical="center"/>
    </xf>
    <xf numFmtId="4" fontId="29" fillId="0" borderId="105" xfId="0" applyNumberFormat="1" applyFont="1" applyFill="1" applyBorder="1" applyAlignment="1">
      <alignment horizontal="center" vertical="center"/>
    </xf>
    <xf numFmtId="4" fontId="29" fillId="0" borderId="102" xfId="0" applyNumberFormat="1" applyFont="1" applyFill="1" applyBorder="1" applyAlignment="1">
      <alignment horizontal="center" vertical="center"/>
    </xf>
    <xf numFmtId="175" fontId="29" fillId="0" borderId="106" xfId="16" applyNumberFormat="1" applyFont="1" applyFill="1" applyBorder="1" applyAlignment="1">
      <alignment horizontal="center" vertical="center"/>
    </xf>
    <xf numFmtId="175" fontId="29" fillId="0" borderId="107" xfId="16" applyNumberFormat="1" applyFont="1" applyFill="1" applyBorder="1" applyAlignment="1">
      <alignment horizontal="center" vertical="center"/>
    </xf>
    <xf numFmtId="175" fontId="29" fillId="0" borderId="108" xfId="16" applyNumberFormat="1" applyFont="1" applyFill="1" applyBorder="1" applyAlignment="1">
      <alignment horizontal="center" vertical="center"/>
    </xf>
    <xf numFmtId="175" fontId="44" fillId="2" borderId="41" xfId="0" applyNumberFormat="1" applyFont="1" applyFill="1" applyBorder="1" applyAlignment="1">
      <alignment horizontal="center" vertical="center"/>
    </xf>
    <xf numFmtId="0" fontId="38" fillId="0" borderId="90" xfId="0" applyFont="1" applyBorder="1" applyAlignment="1">
      <alignment horizontal="left" vertical="center"/>
    </xf>
    <xf numFmtId="0" fontId="43" fillId="5" borderId="109" xfId="0" applyFont="1" applyFill="1" applyBorder="1" applyAlignment="1" applyProtection="1">
      <alignment horizontal="center" vertical="center" wrapText="1"/>
      <protection locked="0"/>
    </xf>
    <xf numFmtId="0" fontId="0" fillId="0" borderId="49" xfId="0" applyBorder="1"/>
    <xf numFmtId="0" fontId="30" fillId="0" borderId="36" xfId="0" applyFont="1" applyBorder="1" applyAlignment="1">
      <alignment horizontal="center" vertical="center" wrapText="1"/>
    </xf>
    <xf numFmtId="1" fontId="31" fillId="4" borderId="27" xfId="15" applyFont="1" applyFill="1" applyBorder="1" applyAlignment="1">
      <alignment horizontal="center" vertical="center" wrapText="1"/>
    </xf>
    <xf numFmtId="44" fontId="5" fillId="0" borderId="0" xfId="16" quotePrefix="1" applyFont="1" applyFill="1" applyBorder="1" applyAlignment="1">
      <alignment horizontal="center" vertical="center" wrapText="1"/>
    </xf>
    <xf numFmtId="0" fontId="5" fillId="0" borderId="15" xfId="0" quotePrefix="1" applyFont="1" applyFill="1" applyBorder="1" applyAlignment="1">
      <alignment horizontal="center" vertical="center" wrapText="1"/>
    </xf>
    <xf numFmtId="0" fontId="7" fillId="0" borderId="110" xfId="12" applyFont="1" applyFill="1" applyBorder="1" applyAlignment="1" applyProtection="1">
      <alignment vertical="center"/>
    </xf>
    <xf numFmtId="0" fontId="13" fillId="0" borderId="88" xfId="12" applyFont="1" applyFill="1" applyBorder="1" applyAlignment="1" applyProtection="1">
      <alignment vertical="center"/>
    </xf>
    <xf numFmtId="0" fontId="37" fillId="0" borderId="23" xfId="0" applyFont="1" applyBorder="1" applyAlignment="1" applyProtection="1">
      <alignment horizontal="left" vertical="center"/>
      <protection hidden="1"/>
    </xf>
    <xf numFmtId="0" fontId="45" fillId="0" borderId="45" xfId="0" applyFont="1" applyFill="1" applyBorder="1" applyAlignment="1" applyProtection="1">
      <alignment horizontal="left" vertical="center"/>
      <protection hidden="1"/>
    </xf>
    <xf numFmtId="0" fontId="5" fillId="0" borderId="0" xfId="12" applyFont="1" applyAlignment="1" applyProtection="1">
      <alignment vertical="center"/>
    </xf>
    <xf numFmtId="0" fontId="53" fillId="0" borderId="0" xfId="0" applyFont="1"/>
    <xf numFmtId="0" fontId="54" fillId="0" borderId="0" xfId="0" applyFont="1"/>
    <xf numFmtId="0" fontId="55" fillId="0" borderId="0" xfId="0" applyFont="1" applyAlignment="1">
      <alignment horizontal="right"/>
    </xf>
    <xf numFmtId="0" fontId="53" fillId="0" borderId="76" xfId="0" applyFont="1" applyBorder="1"/>
    <xf numFmtId="0" fontId="56" fillId="0" borderId="45" xfId="0" applyFont="1" applyBorder="1" applyAlignment="1">
      <alignment horizontal="center" vertical="center"/>
    </xf>
    <xf numFmtId="0" fontId="57" fillId="0" borderId="45" xfId="0" applyFont="1" applyBorder="1" applyAlignment="1">
      <alignment horizontal="center" vertical="center"/>
    </xf>
    <xf numFmtId="0" fontId="53" fillId="0" borderId="111" xfId="0" applyFont="1" applyBorder="1"/>
    <xf numFmtId="0" fontId="53" fillId="0" borderId="0" xfId="0" applyFont="1" applyBorder="1"/>
    <xf numFmtId="0" fontId="58" fillId="0" borderId="0" xfId="0" applyFont="1" applyBorder="1"/>
    <xf numFmtId="0" fontId="38" fillId="0" borderId="0" xfId="0" applyFont="1" applyAlignment="1">
      <alignment horizontal="right"/>
    </xf>
    <xf numFmtId="0" fontId="53" fillId="0" borderId="0" xfId="0" quotePrefix="1" applyFont="1" applyBorder="1" applyAlignment="1">
      <alignment horizontal="right"/>
    </xf>
    <xf numFmtId="0" fontId="53" fillId="0" borderId="0" xfId="0" applyFont="1" applyBorder="1" applyAlignment="1">
      <alignment horizontal="right"/>
    </xf>
    <xf numFmtId="0" fontId="53" fillId="0" borderId="112" xfId="0" applyFont="1" applyBorder="1"/>
    <xf numFmtId="0" fontId="53" fillId="0" borderId="45" xfId="0" applyFont="1" applyBorder="1"/>
    <xf numFmtId="0" fontId="53" fillId="0" borderId="52" xfId="0" applyFont="1" applyBorder="1"/>
    <xf numFmtId="0" fontId="57" fillId="0" borderId="56" xfId="0" applyFont="1" applyBorder="1" applyAlignment="1">
      <alignment horizontal="center" vertical="center"/>
    </xf>
    <xf numFmtId="0" fontId="53" fillId="0" borderId="113" xfId="0" applyFont="1" applyBorder="1"/>
    <xf numFmtId="0" fontId="53" fillId="0" borderId="0" xfId="0" applyFont="1" applyAlignment="1">
      <alignment horizontal="right"/>
    </xf>
    <xf numFmtId="0" fontId="53" fillId="0" borderId="0" xfId="0" quotePrefix="1" applyFont="1"/>
    <xf numFmtId="0" fontId="53" fillId="0" borderId="56" xfId="0" applyFont="1" applyBorder="1"/>
    <xf numFmtId="0" fontId="8" fillId="0" borderId="0" xfId="0" applyFont="1" applyFill="1" applyBorder="1" applyAlignment="1" applyProtection="1">
      <alignment vertical="center"/>
      <protection hidden="1"/>
    </xf>
    <xf numFmtId="0" fontId="41" fillId="2" borderId="5" xfId="0" applyFont="1" applyFill="1" applyBorder="1" applyAlignment="1" applyProtection="1">
      <alignment vertical="center"/>
      <protection hidden="1"/>
    </xf>
    <xf numFmtId="0" fontId="41" fillId="2" borderId="114" xfId="0" applyFont="1" applyFill="1" applyBorder="1" applyAlignment="1" applyProtection="1">
      <alignment vertical="center"/>
      <protection hidden="1"/>
    </xf>
    <xf numFmtId="1" fontId="5" fillId="0" borderId="32" xfId="15" applyFont="1" applyFill="1" applyBorder="1" applyAlignment="1">
      <alignment horizontal="left" vertical="center"/>
    </xf>
    <xf numFmtId="1" fontId="5" fillId="0" borderId="28" xfId="15" applyFont="1" applyFill="1" applyBorder="1" applyAlignment="1">
      <alignment horizontal="left" vertical="center" wrapText="1"/>
    </xf>
    <xf numFmtId="0" fontId="0" fillId="0" borderId="36" xfId="0" applyBorder="1" applyAlignment="1">
      <alignment horizontal="center" vertical="center" wrapText="1"/>
    </xf>
    <xf numFmtId="0" fontId="5" fillId="0" borderId="115" xfId="0" quotePrefix="1" applyFont="1" applyFill="1" applyBorder="1" applyAlignment="1">
      <alignment horizontal="center" vertical="center" wrapText="1"/>
    </xf>
    <xf numFmtId="44" fontId="5" fillId="0" borderId="116" xfId="16" quotePrefix="1" applyFont="1" applyFill="1" applyBorder="1" applyAlignment="1">
      <alignment horizontal="center" vertical="center" wrapText="1"/>
    </xf>
    <xf numFmtId="0" fontId="5" fillId="0" borderId="116" xfId="0" quotePrefix="1" applyNumberFormat="1" applyFont="1" applyFill="1" applyBorder="1" applyAlignment="1">
      <alignment horizontal="center" vertical="center"/>
    </xf>
    <xf numFmtId="0" fontId="5" fillId="0" borderId="118" xfId="0" quotePrefix="1" applyFont="1" applyFill="1" applyBorder="1" applyAlignment="1">
      <alignment horizontal="center" vertical="center" wrapText="1"/>
    </xf>
    <xf numFmtId="0" fontId="5" fillId="0" borderId="116" xfId="0" quotePrefix="1" applyFont="1" applyFill="1" applyBorder="1" applyAlignment="1">
      <alignment horizontal="center" vertical="center" wrapText="1"/>
    </xf>
    <xf numFmtId="0" fontId="5" fillId="0" borderId="116" xfId="0" quotePrefix="1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24" fillId="0" borderId="0" xfId="0" applyNumberFormat="1" applyFont="1" applyFill="1" applyBorder="1" applyAlignment="1" applyProtection="1">
      <alignment vertical="top"/>
      <protection hidden="1"/>
    </xf>
    <xf numFmtId="0" fontId="0" fillId="0" borderId="120" xfId="0" applyBorder="1" applyProtection="1">
      <protection hidden="1"/>
    </xf>
    <xf numFmtId="0" fontId="5" fillId="0" borderId="120" xfId="0" applyFont="1" applyBorder="1" applyAlignment="1" applyProtection="1">
      <alignment horizontal="left"/>
      <protection hidden="1"/>
    </xf>
    <xf numFmtId="0" fontId="5" fillId="0" borderId="120" xfId="0" applyFont="1" applyBorder="1" applyProtection="1">
      <protection hidden="1"/>
    </xf>
    <xf numFmtId="0" fontId="59" fillId="0" borderId="48" xfId="0" applyFont="1" applyBorder="1" applyAlignment="1">
      <alignment horizontal="center"/>
    </xf>
    <xf numFmtId="0" fontId="42" fillId="0" borderId="48" xfId="0" applyFont="1" applyBorder="1" applyAlignment="1">
      <alignment horizontal="left" vertical="center" indent="10"/>
    </xf>
    <xf numFmtId="0" fontId="42" fillId="0" borderId="49" xfId="0" applyFont="1" applyBorder="1" applyAlignment="1">
      <alignment horizontal="left" vertical="center" indent="10"/>
    </xf>
    <xf numFmtId="0" fontId="47" fillId="0" borderId="0" xfId="0" applyNumberFormat="1" applyFont="1"/>
    <xf numFmtId="0" fontId="60" fillId="0" borderId="3" xfId="15" applyNumberFormat="1" applyFont="1" applyFill="1" applyBorder="1" applyAlignment="1">
      <alignment vertical="center" wrapText="1"/>
    </xf>
    <xf numFmtId="0" fontId="4" fillId="0" borderId="0" xfId="0" quotePrefix="1" applyFont="1"/>
    <xf numFmtId="166" fontId="4" fillId="0" borderId="0" xfId="0" applyNumberFormat="1" applyFont="1" applyFill="1" applyBorder="1" applyAlignment="1" applyProtection="1">
      <alignment horizontal="left" vertical="center"/>
      <protection hidden="1"/>
    </xf>
    <xf numFmtId="166" fontId="46" fillId="0" borderId="0" xfId="0" applyNumberFormat="1" applyFont="1" applyFill="1" applyBorder="1" applyAlignment="1" applyProtection="1">
      <alignment horizontal="left" vertical="center"/>
      <protection hidden="1"/>
    </xf>
    <xf numFmtId="0" fontId="23" fillId="0" borderId="0" xfId="0" quotePrefix="1" applyFont="1" applyFill="1" applyAlignment="1" applyProtection="1">
      <alignment horizontal="left" vertical="center"/>
      <protection hidden="1"/>
    </xf>
    <xf numFmtId="0" fontId="61" fillId="0" borderId="0" xfId="0" quotePrefix="1" applyFont="1" applyFill="1" applyAlignment="1" applyProtection="1">
      <alignment horizontal="left" vertical="center"/>
      <protection hidden="1"/>
    </xf>
    <xf numFmtId="2" fontId="6" fillId="0" borderId="0" xfId="0" quotePrefix="1" applyNumberFormat="1" applyFont="1" applyAlignment="1" applyProtection="1">
      <alignment horizontal="left"/>
      <protection hidden="1"/>
    </xf>
    <xf numFmtId="0" fontId="46" fillId="0" borderId="0" xfId="0" applyFont="1" applyAlignment="1" applyProtection="1">
      <alignment horizontal="left" vertical="center" indent="1"/>
      <protection hidden="1"/>
    </xf>
    <xf numFmtId="166" fontId="4" fillId="0" borderId="0" xfId="0" applyNumberFormat="1" applyFont="1" applyFill="1" applyBorder="1" applyAlignment="1" applyProtection="1">
      <alignment horizontal="center" vertical="center"/>
      <protection hidden="1"/>
    </xf>
    <xf numFmtId="166" fontId="4" fillId="0" borderId="0" xfId="0" applyNumberFormat="1" applyFont="1" applyFill="1" applyBorder="1" applyAlignment="1" applyProtection="1">
      <alignment horizontal="left" vertical="center" indent="1"/>
      <protection hidden="1"/>
    </xf>
    <xf numFmtId="0" fontId="62" fillId="0" borderId="0" xfId="0" applyFont="1" applyBorder="1" applyAlignment="1" applyProtection="1">
      <alignment horizontal="left"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left" vertical="center" indent="1"/>
      <protection hidden="1"/>
    </xf>
    <xf numFmtId="0" fontId="53" fillId="0" borderId="0" xfId="0" applyFont="1" applyFill="1"/>
    <xf numFmtId="0" fontId="63" fillId="0" borderId="23" xfId="12" applyFont="1" applyBorder="1" applyAlignment="1" applyProtection="1">
      <alignment vertical="center"/>
    </xf>
    <xf numFmtId="14" fontId="63" fillId="0" borderId="23" xfId="12" applyNumberFormat="1" applyFont="1" applyBorder="1" applyAlignment="1" applyProtection="1">
      <alignment vertical="center"/>
    </xf>
    <xf numFmtId="14" fontId="5" fillId="0" borderId="23" xfId="0" applyNumberFormat="1" applyFont="1" applyBorder="1" applyProtection="1">
      <protection hidden="1"/>
    </xf>
    <xf numFmtId="0" fontId="64" fillId="0" borderId="23" xfId="0" applyFont="1" applyBorder="1" applyProtection="1">
      <protection hidden="1"/>
    </xf>
    <xf numFmtId="14" fontId="64" fillId="0" borderId="23" xfId="0" applyNumberFormat="1" applyFont="1" applyBorder="1" applyAlignment="1" applyProtection="1">
      <alignment horizontal="left"/>
      <protection hidden="1"/>
    </xf>
    <xf numFmtId="0" fontId="65" fillId="0" borderId="0" xfId="0" applyFont="1" applyBorder="1"/>
    <xf numFmtId="14" fontId="65" fillId="0" borderId="0" xfId="0" applyNumberFormat="1" applyFont="1" applyBorder="1" applyAlignment="1">
      <alignment horizontal="left"/>
    </xf>
    <xf numFmtId="0" fontId="10" fillId="0" borderId="53" xfId="12" applyFont="1" applyFill="1" applyBorder="1" applyAlignment="1" applyProtection="1">
      <alignment vertical="center"/>
    </xf>
    <xf numFmtId="0" fontId="10" fillId="0" borderId="90" xfId="12" applyFont="1" applyFill="1" applyBorder="1" applyAlignment="1" applyProtection="1">
      <alignment vertical="center"/>
    </xf>
    <xf numFmtId="0" fontId="10" fillId="0" borderId="122" xfId="12" applyFont="1" applyFill="1" applyBorder="1" applyAlignment="1" applyProtection="1">
      <alignment vertical="center"/>
    </xf>
    <xf numFmtId="0" fontId="71" fillId="0" borderId="24" xfId="0" quotePrefix="1" applyFont="1" applyBorder="1" applyAlignment="1" applyProtection="1">
      <alignment horizontal="left" vertical="center"/>
      <protection hidden="1"/>
    </xf>
    <xf numFmtId="0" fontId="66" fillId="0" borderId="0" xfId="0" applyFont="1" applyAlignment="1" applyProtection="1">
      <alignment horizontal="left" vertical="center"/>
      <protection hidden="1"/>
    </xf>
    <xf numFmtId="0" fontId="67" fillId="0" borderId="0" xfId="0" applyFont="1" applyAlignment="1" applyProtection="1">
      <alignment horizontal="left" vertical="center"/>
      <protection hidden="1"/>
    </xf>
    <xf numFmtId="0" fontId="72" fillId="0" borderId="0" xfId="11" applyFont="1"/>
    <xf numFmtId="0" fontId="73" fillId="0" borderId="0" xfId="11" applyFont="1"/>
    <xf numFmtId="0" fontId="74" fillId="0" borderId="0" xfId="11" applyFont="1"/>
    <xf numFmtId="0" fontId="73" fillId="0" borderId="0" xfId="11" applyFont="1" applyAlignment="1">
      <alignment horizontal="right"/>
    </xf>
    <xf numFmtId="0" fontId="74" fillId="0" borderId="0" xfId="11" applyFont="1" applyProtection="1">
      <protection hidden="1"/>
    </xf>
    <xf numFmtId="0" fontId="73" fillId="0" borderId="0" xfId="14" applyFont="1"/>
    <xf numFmtId="0" fontId="73" fillId="0" borderId="2" xfId="11" applyFont="1" applyBorder="1"/>
    <xf numFmtId="0" fontId="73" fillId="0" borderId="30" xfId="11" applyFont="1" applyBorder="1" applyAlignment="1">
      <alignment horizontal="right"/>
    </xf>
    <xf numFmtId="0" fontId="73" fillId="0" borderId="30" xfId="11" applyFont="1" applyBorder="1"/>
    <xf numFmtId="0" fontId="73" fillId="0" borderId="28" xfId="11" applyFont="1" applyBorder="1"/>
    <xf numFmtId="0" fontId="73" fillId="0" borderId="36" xfId="11" applyFont="1" applyBorder="1" applyAlignment="1">
      <alignment horizontal="right"/>
    </xf>
    <xf numFmtId="164" fontId="74" fillId="3" borderId="2" xfId="11" applyNumberFormat="1" applyFont="1" applyFill="1" applyBorder="1"/>
    <xf numFmtId="164" fontId="74" fillId="3" borderId="30" xfId="11" applyNumberFormat="1" applyFont="1" applyFill="1" applyBorder="1"/>
    <xf numFmtId="0" fontId="74" fillId="0" borderId="96" xfId="11" applyFont="1" applyBorder="1"/>
    <xf numFmtId="164" fontId="73" fillId="3" borderId="0" xfId="11" applyNumberFormat="1" applyFont="1" applyFill="1"/>
    <xf numFmtId="164" fontId="73" fillId="3" borderId="96" xfId="11" applyNumberFormat="1" applyFont="1" applyFill="1" applyBorder="1"/>
    <xf numFmtId="0" fontId="73" fillId="3" borderId="0" xfId="11" applyFont="1" applyFill="1"/>
    <xf numFmtId="0" fontId="74" fillId="0" borderId="30" xfId="11" applyFont="1" applyBorder="1"/>
    <xf numFmtId="164" fontId="73" fillId="3" borderId="2" xfId="11" applyNumberFormat="1" applyFont="1" applyFill="1" applyBorder="1"/>
    <xf numFmtId="164" fontId="73" fillId="3" borderId="30" xfId="11" applyNumberFormat="1" applyFont="1" applyFill="1" applyBorder="1"/>
    <xf numFmtId="0" fontId="74" fillId="7" borderId="123" xfId="14" applyFont="1" applyFill="1" applyBorder="1" applyAlignment="1">
      <alignment horizontal="center"/>
    </xf>
    <xf numFmtId="164" fontId="74" fillId="7" borderId="123" xfId="11" applyNumberFormat="1" applyFont="1" applyFill="1" applyBorder="1" applyAlignment="1">
      <alignment horizontal="center"/>
    </xf>
    <xf numFmtId="0" fontId="73" fillId="0" borderId="0" xfId="11" applyFont="1" applyAlignment="1">
      <alignment horizontal="left"/>
    </xf>
    <xf numFmtId="0" fontId="73" fillId="0" borderId="0" xfId="14" applyFont="1" applyAlignment="1">
      <alignment horizontal="center"/>
    </xf>
    <xf numFmtId="0" fontId="73" fillId="0" borderId="0" xfId="11" applyFont="1" applyAlignment="1">
      <alignment horizontal="center"/>
    </xf>
    <xf numFmtId="0" fontId="75" fillId="0" borderId="0" xfId="14" applyFont="1"/>
    <xf numFmtId="0" fontId="75" fillId="0" borderId="0" xfId="11" applyFont="1" applyAlignment="1">
      <alignment horizontal="right"/>
    </xf>
    <xf numFmtId="164" fontId="73" fillId="0" borderId="0" xfId="14" applyNumberFormat="1" applyFont="1"/>
    <xf numFmtId="0" fontId="1" fillId="0" borderId="0" xfId="0" applyFont="1"/>
    <xf numFmtId="12" fontId="0" fillId="0" borderId="0" xfId="0" applyNumberFormat="1"/>
    <xf numFmtId="0" fontId="21" fillId="11" borderId="40" xfId="0" applyFont="1" applyFill="1" applyBorder="1" applyAlignment="1" applyProtection="1">
      <alignment horizontal="center" vertical="center" wrapText="1"/>
    </xf>
    <xf numFmtId="4" fontId="29" fillId="11" borderId="103" xfId="0" applyNumberFormat="1" applyFont="1" applyFill="1" applyBorder="1" applyAlignment="1" applyProtection="1">
      <alignment horizontal="center" vertical="center"/>
    </xf>
    <xf numFmtId="0" fontId="5" fillId="0" borderId="124" xfId="0" quotePrefix="1" applyFont="1" applyFill="1" applyBorder="1" applyAlignment="1">
      <alignment horizontal="center" vertical="center" wrapText="1"/>
    </xf>
    <xf numFmtId="0" fontId="40" fillId="4" borderId="126" xfId="0" applyFont="1" applyFill="1" applyBorder="1" applyAlignment="1">
      <alignment horizontal="center" vertical="center" wrapText="1"/>
    </xf>
    <xf numFmtId="1" fontId="21" fillId="3" borderId="13" xfId="0" applyNumberFormat="1" applyFont="1" applyFill="1" applyBorder="1" applyAlignment="1" applyProtection="1">
      <alignment horizontal="center" vertical="center"/>
      <protection locked="0" hidden="1"/>
    </xf>
    <xf numFmtId="164" fontId="21" fillId="3" borderId="13" xfId="0" applyNumberFormat="1" applyFont="1" applyFill="1" applyBorder="1" applyAlignment="1" applyProtection="1">
      <alignment horizontal="center" vertical="center"/>
      <protection locked="0" hidden="1"/>
    </xf>
    <xf numFmtId="0" fontId="21" fillId="3" borderId="13" xfId="0" applyNumberFormat="1" applyFont="1" applyFill="1" applyBorder="1" applyAlignment="1" applyProtection="1">
      <alignment horizontal="center" vertical="center"/>
      <protection locked="0" hidden="1"/>
    </xf>
    <xf numFmtId="0" fontId="46" fillId="0" borderId="0" xfId="0" applyFont="1" applyAlignment="1" applyProtection="1">
      <alignment horizontal="left" vertical="top" wrapText="1" indent="1"/>
      <protection hidden="1"/>
    </xf>
    <xf numFmtId="1" fontId="6" fillId="0" borderId="7" xfId="15" applyFont="1" applyFill="1" applyBorder="1" applyAlignment="1">
      <alignment horizontal="center" vertical="center" wrapText="1"/>
    </xf>
    <xf numFmtId="0" fontId="5" fillId="0" borderId="116" xfId="0" quotePrefix="1" applyFont="1" applyFill="1" applyBorder="1" applyAlignment="1">
      <alignment horizontal="center" vertical="center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6" fillId="4" borderId="34" xfId="0" applyFont="1" applyFill="1" applyBorder="1" applyAlignment="1">
      <alignment horizontal="center" vertical="center" wrapText="1"/>
    </xf>
    <xf numFmtId="2" fontId="5" fillId="0" borderId="121" xfId="16" quotePrefix="1" applyNumberFormat="1" applyFont="1" applyFill="1" applyBorder="1" applyAlignment="1">
      <alignment horizontal="center" vertical="center" wrapText="1"/>
    </xf>
    <xf numFmtId="2" fontId="5" fillId="6" borderId="117" xfId="0" applyNumberFormat="1" applyFont="1" applyFill="1" applyBorder="1" applyAlignment="1" applyProtection="1">
      <alignment horizontal="center" vertical="center" wrapText="1"/>
    </xf>
    <xf numFmtId="2" fontId="5" fillId="0" borderId="36" xfId="0" quotePrefix="1" applyNumberFormat="1" applyFont="1" applyFill="1" applyBorder="1" applyAlignment="1">
      <alignment horizontal="center" vertical="center"/>
    </xf>
    <xf numFmtId="2" fontId="5" fillId="0" borderId="117" xfId="0" applyNumberFormat="1" applyFont="1" applyFill="1" applyBorder="1" applyAlignment="1" applyProtection="1">
      <alignment horizontal="center" vertical="center" wrapText="1"/>
    </xf>
    <xf numFmtId="2" fontId="5" fillId="0" borderId="128" xfId="0" applyNumberFormat="1" applyFont="1" applyFill="1" applyBorder="1" applyAlignment="1" applyProtection="1">
      <alignment horizontal="center" vertical="center" wrapText="1"/>
    </xf>
    <xf numFmtId="2" fontId="5" fillId="0" borderId="127" xfId="0" applyNumberFormat="1" applyFont="1" applyFill="1" applyBorder="1" applyAlignment="1" applyProtection="1">
      <alignment horizontal="center" vertical="center" wrapText="1"/>
    </xf>
    <xf numFmtId="2" fontId="5" fillId="0" borderId="119" xfId="0" applyNumberFormat="1" applyFont="1" applyFill="1" applyBorder="1" applyAlignment="1" applyProtection="1">
      <alignment horizontal="center" vertical="center" wrapText="1"/>
    </xf>
    <xf numFmtId="2" fontId="5" fillId="0" borderId="119" xfId="0" quotePrefix="1" applyNumberFormat="1" applyFont="1" applyFill="1" applyBorder="1" applyAlignment="1">
      <alignment horizontal="center" vertical="center"/>
    </xf>
    <xf numFmtId="2" fontId="5" fillId="0" borderId="30" xfId="0" quotePrefix="1" applyNumberFormat="1" applyFont="1" applyFill="1" applyBorder="1" applyAlignment="1">
      <alignment horizontal="center" vertical="center" wrapText="1"/>
    </xf>
    <xf numFmtId="2" fontId="5" fillId="0" borderId="125" xfId="0" quotePrefix="1" applyNumberFormat="1" applyFont="1" applyFill="1" applyBorder="1" applyAlignment="1">
      <alignment horizontal="center" vertical="center" wrapText="1"/>
    </xf>
    <xf numFmtId="0" fontId="76" fillId="13" borderId="0" xfId="0" applyFont="1" applyFill="1"/>
    <xf numFmtId="0" fontId="76" fillId="13" borderId="0" xfId="0" applyFont="1" applyFill="1" applyBorder="1"/>
    <xf numFmtId="49" fontId="77" fillId="13" borderId="1" xfId="0" applyNumberFormat="1" applyFont="1" applyFill="1" applyBorder="1" applyAlignment="1">
      <alignment horizontal="center"/>
    </xf>
    <xf numFmtId="0" fontId="76" fillId="13" borderId="1" xfId="0" applyFont="1" applyFill="1" applyBorder="1"/>
    <xf numFmtId="0" fontId="78" fillId="13" borderId="0" xfId="0" applyFont="1" applyFill="1" applyAlignment="1" applyProtection="1">
      <alignment horizontal="left" vertical="center"/>
      <protection hidden="1"/>
    </xf>
    <xf numFmtId="0" fontId="76" fillId="13" borderId="1" xfId="0" quotePrefix="1" applyFont="1" applyFill="1" applyBorder="1" applyAlignment="1">
      <alignment horizontal="left"/>
    </xf>
    <xf numFmtId="0" fontId="76" fillId="13" borderId="1" xfId="0" applyFont="1" applyFill="1" applyBorder="1" applyAlignment="1">
      <alignment horizontal="left"/>
    </xf>
    <xf numFmtId="22" fontId="76" fillId="0" borderId="0" xfId="0" applyNumberFormat="1" applyFont="1" applyBorder="1"/>
    <xf numFmtId="14" fontId="76" fillId="0" borderId="0" xfId="0" applyNumberFormat="1" applyFont="1" applyBorder="1"/>
    <xf numFmtId="0" fontId="76" fillId="0" borderId="0" xfId="0" applyFont="1"/>
    <xf numFmtId="0" fontId="76" fillId="0" borderId="0" xfId="0" applyFont="1" applyBorder="1"/>
    <xf numFmtId="0" fontId="81" fillId="0" borderId="0" xfId="0" applyFont="1" applyFill="1" applyBorder="1" applyAlignment="1" applyProtection="1">
      <alignment horizontal="center" vertical="center"/>
      <protection hidden="1"/>
    </xf>
    <xf numFmtId="0" fontId="81" fillId="0" borderId="0" xfId="0" applyFont="1" applyFill="1" applyBorder="1" applyAlignment="1" applyProtection="1">
      <alignment vertical="center"/>
      <protection hidden="1"/>
    </xf>
    <xf numFmtId="0" fontId="81" fillId="0" borderId="0" xfId="0" applyFont="1" applyFill="1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left" vertical="center" wrapText="1" shrinkToFit="1"/>
      <protection hidden="1"/>
    </xf>
    <xf numFmtId="1" fontId="31" fillId="0" borderId="27" xfId="15" quotePrefix="1" applyFont="1" applyFill="1" applyBorder="1" applyAlignment="1">
      <alignment horizontal="center" vertical="center" wrapText="1"/>
    </xf>
    <xf numFmtId="0" fontId="59" fillId="0" borderId="49" xfId="0" applyFont="1" applyBorder="1" applyAlignment="1">
      <alignment horizontal="center"/>
    </xf>
    <xf numFmtId="0" fontId="76" fillId="0" borderId="2" xfId="13" applyFont="1" applyFill="1" applyBorder="1">
      <alignment vertical="center"/>
    </xf>
    <xf numFmtId="3" fontId="76" fillId="0" borderId="2" xfId="10" applyFont="1" applyFill="1" applyBorder="1">
      <alignment horizontal="left"/>
    </xf>
    <xf numFmtId="3" fontId="76" fillId="0" borderId="2" xfId="10" applyFont="1" applyFill="1" applyBorder="1" applyAlignment="1">
      <alignment horizontal="center"/>
    </xf>
    <xf numFmtId="1" fontId="76" fillId="0" borderId="2" xfId="15" applyFont="1" applyFill="1" applyBorder="1">
      <alignment horizontal="left"/>
    </xf>
    <xf numFmtId="0" fontId="76" fillId="0" borderId="0" xfId="13" applyFont="1" applyFill="1">
      <alignment vertical="center"/>
    </xf>
    <xf numFmtId="0" fontId="77" fillId="0" borderId="0" xfId="13" applyFont="1" applyFill="1" applyBorder="1">
      <alignment vertical="center"/>
    </xf>
    <xf numFmtId="0" fontId="76" fillId="0" borderId="0" xfId="13" applyFont="1" applyFill="1" applyAlignment="1">
      <alignment horizontal="center" vertical="center"/>
    </xf>
    <xf numFmtId="170" fontId="77" fillId="0" borderId="0" xfId="13" applyNumberFormat="1" applyFont="1" applyFill="1" applyAlignment="1">
      <alignment horizontal="right" vertical="center"/>
    </xf>
    <xf numFmtId="0" fontId="82" fillId="0" borderId="0" xfId="13" applyFont="1" applyFill="1" applyBorder="1">
      <alignment vertical="center"/>
    </xf>
    <xf numFmtId="171" fontId="77" fillId="0" borderId="0" xfId="15" applyNumberFormat="1" applyFont="1" applyFill="1" applyBorder="1" applyAlignment="1">
      <alignment horizontal="left"/>
    </xf>
    <xf numFmtId="1" fontId="76" fillId="0" borderId="0" xfId="15" applyFont="1" applyFill="1" applyBorder="1">
      <alignment horizontal="left"/>
    </xf>
    <xf numFmtId="1" fontId="77" fillId="0" borderId="0" xfId="15" applyFont="1" applyFill="1" applyBorder="1" applyAlignment="1">
      <alignment horizontal="centerContinuous"/>
    </xf>
    <xf numFmtId="0" fontId="77" fillId="0" borderId="1" xfId="7" applyFont="1" applyFill="1" applyBorder="1" applyAlignment="1">
      <alignment horizontal="left" vertical="center"/>
    </xf>
    <xf numFmtId="0" fontId="77" fillId="0" borderId="3" xfId="7" applyFont="1" applyFill="1" applyBorder="1" applyAlignment="1">
      <alignment vertical="center"/>
    </xf>
    <xf numFmtId="1" fontId="76" fillId="0" borderId="3" xfId="15" applyFont="1" applyFill="1" applyBorder="1" applyAlignment="1">
      <alignment horizontal="left"/>
    </xf>
    <xf numFmtId="1" fontId="76" fillId="0" borderId="31" xfId="15" applyFont="1" applyFill="1" applyBorder="1" applyAlignment="1">
      <alignment horizontal="left"/>
    </xf>
    <xf numFmtId="1" fontId="75" fillId="0" borderId="32" xfId="15" applyFont="1" applyFill="1" applyBorder="1" applyAlignment="1">
      <alignment horizontal="center" textRotation="90"/>
    </xf>
    <xf numFmtId="1" fontId="75" fillId="0" borderId="96" xfId="15" applyFont="1" applyFill="1" applyBorder="1" applyAlignment="1">
      <alignment horizontal="center" textRotation="90"/>
    </xf>
    <xf numFmtId="1" fontId="76" fillId="0" borderId="51" xfId="15" applyFont="1" applyFill="1" applyBorder="1" applyAlignment="1">
      <alignment horizontal="center" textRotation="90"/>
    </xf>
    <xf numFmtId="1" fontId="76" fillId="0" borderId="1" xfId="15" applyFont="1" applyFill="1" applyBorder="1" applyAlignment="1">
      <alignment horizontal="center" textRotation="90"/>
    </xf>
    <xf numFmtId="1" fontId="76" fillId="0" borderId="96" xfId="15" applyFont="1" applyFill="1" applyBorder="1" applyAlignment="1">
      <alignment horizontal="center" textRotation="90"/>
    </xf>
    <xf numFmtId="172" fontId="77" fillId="0" borderId="1" xfId="7" applyNumberFormat="1" applyFont="1" applyFill="1" applyBorder="1" applyAlignment="1">
      <alignment horizontal="center" vertical="center"/>
    </xf>
    <xf numFmtId="170" fontId="77" fillId="0" borderId="1" xfId="7" applyNumberFormat="1" applyFont="1" applyFill="1" applyBorder="1" applyAlignment="1">
      <alignment horizontal="center" vertical="center" wrapText="1"/>
    </xf>
    <xf numFmtId="1" fontId="76" fillId="0" borderId="0" xfId="15" applyFont="1" applyFill="1" applyBorder="1" applyAlignment="1">
      <alignment horizontal="right"/>
    </xf>
    <xf numFmtId="164" fontId="76" fillId="0" borderId="51" xfId="15" applyNumberFormat="1" applyFont="1" applyFill="1" applyBorder="1" applyAlignment="1">
      <alignment horizontal="left"/>
    </xf>
    <xf numFmtId="1" fontId="75" fillId="0" borderId="0" xfId="15" applyFont="1" applyFill="1" applyBorder="1" applyAlignment="1">
      <alignment horizontal="left"/>
    </xf>
    <xf numFmtId="1" fontId="84" fillId="0" borderId="0" xfId="15" applyFont="1" applyFill="1" applyBorder="1" applyAlignment="1">
      <alignment horizontal="left"/>
    </xf>
    <xf numFmtId="1" fontId="75" fillId="0" borderId="3" xfId="15" applyFont="1" applyFill="1" applyBorder="1" applyAlignment="1">
      <alignment horizontal="left"/>
    </xf>
    <xf numFmtId="0" fontId="75" fillId="0" borderId="129" xfId="15" applyNumberFormat="1" applyFont="1" applyFill="1" applyBorder="1" applyAlignment="1">
      <alignment horizontal="center"/>
    </xf>
    <xf numFmtId="1" fontId="75" fillId="0" borderId="130" xfId="15" applyFont="1" applyFill="1" applyBorder="1" applyAlignment="1">
      <alignment horizontal="center"/>
    </xf>
    <xf numFmtId="1" fontId="76" fillId="0" borderId="1" xfId="15" applyFont="1" applyFill="1" applyBorder="1" applyAlignment="1">
      <alignment horizontal="center"/>
    </xf>
    <xf numFmtId="1" fontId="76" fillId="0" borderId="1" xfId="15" quotePrefix="1" applyFont="1" applyFill="1" applyBorder="1" applyAlignment="1">
      <alignment horizontal="center"/>
    </xf>
    <xf numFmtId="49" fontId="76" fillId="0" borderId="131" xfId="15" quotePrefix="1" applyNumberFormat="1" applyFont="1" applyFill="1" applyBorder="1" applyAlignment="1">
      <alignment horizontal="center"/>
    </xf>
    <xf numFmtId="4" fontId="77" fillId="0" borderId="132" xfId="15" applyNumberFormat="1" applyFont="1" applyFill="1" applyBorder="1" applyAlignment="1">
      <alignment horizontal="right"/>
    </xf>
    <xf numFmtId="176" fontId="76" fillId="0" borderId="0" xfId="15" applyNumberFormat="1" applyFont="1" applyFill="1" applyBorder="1" applyAlignment="1">
      <alignment horizontal="center"/>
    </xf>
    <xf numFmtId="1" fontId="75" fillId="0" borderId="42" xfId="15" applyFont="1" applyFill="1" applyBorder="1" applyAlignment="1">
      <alignment horizontal="left"/>
    </xf>
    <xf numFmtId="1" fontId="76" fillId="0" borderId="42" xfId="15" applyFont="1" applyFill="1" applyBorder="1" applyAlignment="1">
      <alignment horizontal="center"/>
    </xf>
    <xf numFmtId="1" fontId="76" fillId="0" borderId="0" xfId="15" applyFont="1" applyFill="1" applyBorder="1" applyAlignment="1">
      <alignment horizontal="left"/>
    </xf>
    <xf numFmtId="177" fontId="85" fillId="0" borderId="132" xfId="15" applyNumberFormat="1" applyFont="1" applyFill="1" applyBorder="1" applyAlignment="1">
      <alignment horizontal="right"/>
    </xf>
    <xf numFmtId="164" fontId="76" fillId="0" borderId="51" xfId="15" applyNumberFormat="1" applyFont="1" applyFill="1" applyBorder="1" applyAlignment="1">
      <alignment horizontal="center"/>
    </xf>
    <xf numFmtId="1" fontId="75" fillId="0" borderId="0" xfId="15" applyFont="1" applyFill="1" applyBorder="1">
      <alignment horizontal="left"/>
    </xf>
    <xf numFmtId="49" fontId="76" fillId="0" borderId="133" xfId="15" quotePrefix="1" applyNumberFormat="1" applyFont="1" applyFill="1" applyBorder="1" applyAlignment="1">
      <alignment horizontal="center"/>
    </xf>
    <xf numFmtId="1" fontId="75" fillId="0" borderId="43" xfId="15" applyFont="1" applyFill="1" applyBorder="1" applyAlignment="1">
      <alignment horizontal="left"/>
    </xf>
    <xf numFmtId="1" fontId="76" fillId="0" borderId="43" xfId="15" applyFont="1" applyFill="1" applyBorder="1" applyAlignment="1">
      <alignment horizontal="center"/>
    </xf>
    <xf numFmtId="177" fontId="85" fillId="0" borderId="133" xfId="15" applyNumberFormat="1" applyFont="1" applyFill="1" applyBorder="1" applyAlignment="1">
      <alignment horizontal="right"/>
    </xf>
    <xf numFmtId="2" fontId="76" fillId="0" borderId="0" xfId="15" applyNumberFormat="1" applyFont="1" applyFill="1" applyBorder="1">
      <alignment horizontal="left"/>
    </xf>
    <xf numFmtId="164" fontId="76" fillId="0" borderId="6" xfId="15" applyNumberFormat="1" applyFont="1" applyFill="1" applyBorder="1" applyAlignment="1">
      <alignment horizontal="center"/>
    </xf>
    <xf numFmtId="1" fontId="75" fillId="0" borderId="2" xfId="15" applyFont="1" applyFill="1" applyBorder="1">
      <alignment horizontal="left"/>
    </xf>
    <xf numFmtId="49" fontId="76" fillId="0" borderId="6" xfId="15" quotePrefix="1" applyNumberFormat="1" applyFont="1" applyFill="1" applyBorder="1" applyAlignment="1">
      <alignment horizontal="center"/>
    </xf>
    <xf numFmtId="177" fontId="85" fillId="0" borderId="134" xfId="15" applyNumberFormat="1" applyFont="1" applyFill="1" applyBorder="1" applyAlignment="1">
      <alignment horizontal="right"/>
    </xf>
    <xf numFmtId="177" fontId="85" fillId="0" borderId="131" xfId="15" applyNumberFormat="1" applyFont="1" applyFill="1" applyBorder="1" applyAlignment="1">
      <alignment horizontal="right"/>
    </xf>
    <xf numFmtId="1" fontId="84" fillId="0" borderId="0" xfId="15" applyFont="1" applyFill="1" applyBorder="1">
      <alignment horizontal="left"/>
    </xf>
    <xf numFmtId="49" fontId="76" fillId="0" borderId="135" xfId="15" applyNumberFormat="1" applyFont="1" applyFill="1" applyBorder="1" applyAlignment="1">
      <alignment horizontal="center"/>
    </xf>
    <xf numFmtId="177" fontId="85" fillId="0" borderId="135" xfId="15" applyNumberFormat="1" applyFont="1" applyFill="1" applyBorder="1" applyAlignment="1">
      <alignment horizontal="right"/>
    </xf>
    <xf numFmtId="1" fontId="75" fillId="0" borderId="2" xfId="15" applyFont="1" applyFill="1" applyBorder="1" applyAlignment="1">
      <alignment horizontal="left"/>
    </xf>
    <xf numFmtId="1" fontId="84" fillId="0" borderId="31" xfId="15" applyFont="1" applyFill="1" applyBorder="1" applyAlignment="1">
      <alignment horizontal="left"/>
    </xf>
    <xf numFmtId="49" fontId="76" fillId="0" borderId="132" xfId="15" applyNumberFormat="1" applyFont="1" applyFill="1" applyBorder="1" applyAlignment="1">
      <alignment horizontal="center"/>
    </xf>
    <xf numFmtId="49" fontId="76" fillId="0" borderId="131" xfId="15" applyNumberFormat="1" applyFont="1" applyFill="1" applyBorder="1" applyAlignment="1">
      <alignment horizontal="center"/>
    </xf>
    <xf numFmtId="49" fontId="85" fillId="0" borderId="133" xfId="15" applyNumberFormat="1" applyFont="1" applyFill="1" applyBorder="1" applyAlignment="1">
      <alignment horizontal="center"/>
    </xf>
    <xf numFmtId="49" fontId="85" fillId="0" borderId="6" xfId="15" applyNumberFormat="1" applyFont="1" applyFill="1" applyBorder="1" applyAlignment="1">
      <alignment horizontal="center"/>
    </xf>
    <xf numFmtId="4" fontId="77" fillId="0" borderId="6" xfId="15" applyNumberFormat="1" applyFont="1" applyFill="1" applyBorder="1" applyAlignment="1">
      <alignment horizontal="right"/>
    </xf>
    <xf numFmtId="1" fontId="75" fillId="0" borderId="44" xfId="15" applyFont="1" applyFill="1" applyBorder="1" applyAlignment="1">
      <alignment horizontal="left"/>
    </xf>
    <xf numFmtId="1" fontId="76" fillId="0" borderId="44" xfId="15" applyFont="1" applyFill="1" applyBorder="1" applyAlignment="1">
      <alignment horizontal="center"/>
    </xf>
    <xf numFmtId="177" fontId="85" fillId="0" borderId="6" xfId="15" applyNumberFormat="1" applyFont="1" applyFill="1" applyBorder="1" applyAlignment="1">
      <alignment horizontal="right"/>
    </xf>
    <xf numFmtId="49" fontId="76" fillId="0" borderId="133" xfId="15" applyNumberFormat="1" applyFont="1" applyFill="1" applyBorder="1" applyAlignment="1">
      <alignment horizontal="center"/>
    </xf>
    <xf numFmtId="49" fontId="76" fillId="0" borderId="6" xfId="15" applyNumberFormat="1" applyFont="1" applyFill="1" applyBorder="1" applyAlignment="1">
      <alignment horizontal="center"/>
    </xf>
    <xf numFmtId="12" fontId="75" fillId="0" borderId="129" xfId="15" quotePrefix="1" applyNumberFormat="1" applyFont="1" applyFill="1" applyBorder="1" applyAlignment="1">
      <alignment horizontal="center"/>
    </xf>
    <xf numFmtId="1" fontId="75" fillId="0" borderId="7" xfId="15" applyFont="1" applyFill="1" applyBorder="1">
      <alignment horizontal="left"/>
    </xf>
    <xf numFmtId="0" fontId="75" fillId="0" borderId="129" xfId="15" quotePrefix="1" applyNumberFormat="1" applyFont="1" applyFill="1" applyBorder="1" applyAlignment="1">
      <alignment horizontal="center"/>
    </xf>
    <xf numFmtId="49" fontId="76" fillId="0" borderId="134" xfId="15" applyNumberFormat="1" applyFont="1" applyFill="1" applyBorder="1" applyAlignment="1">
      <alignment horizontal="center"/>
    </xf>
    <xf numFmtId="1" fontId="75" fillId="0" borderId="28" xfId="15" applyFont="1" applyFill="1" applyBorder="1" applyAlignment="1">
      <alignment horizontal="left"/>
    </xf>
    <xf numFmtId="1" fontId="75" fillId="0" borderId="31" xfId="15" applyFont="1" applyFill="1" applyBorder="1">
      <alignment horizontal="left"/>
    </xf>
    <xf numFmtId="1" fontId="75" fillId="0" borderId="27" xfId="15" applyFont="1" applyFill="1" applyBorder="1" applyAlignment="1">
      <alignment horizontal="left"/>
    </xf>
    <xf numFmtId="1" fontId="84" fillId="0" borderId="3" xfId="15" applyFont="1" applyFill="1" applyBorder="1" applyAlignment="1">
      <alignment horizontal="left"/>
    </xf>
    <xf numFmtId="164" fontId="76" fillId="0" borderId="18" xfId="15" applyNumberFormat="1" applyFont="1" applyFill="1" applyBorder="1" applyAlignment="1">
      <alignment horizontal="left"/>
    </xf>
    <xf numFmtId="1" fontId="76" fillId="0" borderId="7" xfId="15" applyFont="1" applyFill="1" applyBorder="1">
      <alignment horizontal="left"/>
    </xf>
    <xf numFmtId="1" fontId="84" fillId="0" borderId="2" xfId="15" applyFont="1" applyFill="1" applyBorder="1" applyAlignment="1">
      <alignment horizontal="left"/>
    </xf>
    <xf numFmtId="49" fontId="76" fillId="0" borderId="51" xfId="15" applyNumberFormat="1" applyFont="1" applyFill="1" applyBorder="1" applyAlignment="1">
      <alignment horizontal="center"/>
    </xf>
    <xf numFmtId="4" fontId="77" fillId="0" borderId="51" xfId="15" applyNumberFormat="1" applyFont="1" applyFill="1" applyBorder="1" applyAlignment="1">
      <alignment horizontal="right"/>
    </xf>
    <xf numFmtId="177" fontId="85" fillId="0" borderId="51" xfId="15" applyNumberFormat="1" applyFont="1" applyFill="1" applyBorder="1" applyAlignment="1">
      <alignment horizontal="right"/>
    </xf>
    <xf numFmtId="1" fontId="75" fillId="0" borderId="32" xfId="15" applyFont="1" applyFill="1" applyBorder="1" applyAlignment="1">
      <alignment horizontal="left"/>
    </xf>
    <xf numFmtId="1" fontId="75" fillId="0" borderId="7" xfId="15" applyFont="1" applyFill="1" applyBorder="1" applyAlignment="1">
      <alignment horizontal="left"/>
    </xf>
    <xf numFmtId="1" fontId="75" fillId="0" borderId="136" xfId="15" applyFont="1" applyFill="1" applyBorder="1" applyAlignment="1">
      <alignment horizontal="left"/>
    </xf>
    <xf numFmtId="1" fontId="75" fillId="0" borderId="137" xfId="15" applyFont="1" applyFill="1" applyBorder="1" applyAlignment="1">
      <alignment horizontal="left"/>
    </xf>
    <xf numFmtId="1" fontId="75" fillId="0" borderId="138" xfId="15" applyFont="1" applyFill="1" applyBorder="1" applyAlignment="1">
      <alignment horizontal="left"/>
    </xf>
    <xf numFmtId="0" fontId="75" fillId="0" borderId="76" xfId="0" applyFont="1" applyFill="1" applyBorder="1" applyAlignment="1">
      <alignment horizontal="left"/>
    </xf>
    <xf numFmtId="1" fontId="75" fillId="0" borderId="0" xfId="15" applyFont="1" applyFill="1" applyBorder="1" applyAlignment="1">
      <alignment horizontal="center"/>
    </xf>
    <xf numFmtId="1" fontId="76" fillId="0" borderId="51" xfId="15" applyFont="1" applyFill="1" applyBorder="1" applyAlignment="1">
      <alignment horizontal="left"/>
    </xf>
    <xf numFmtId="164" fontId="75" fillId="0" borderId="45" xfId="0" applyNumberFormat="1" applyFont="1" applyBorder="1" applyAlignment="1">
      <alignment horizontal="left"/>
    </xf>
    <xf numFmtId="1" fontId="75" fillId="0" borderId="220" xfId="15" applyFont="1" applyFill="1" applyBorder="1" applyAlignment="1">
      <alignment horizontal="left"/>
    </xf>
    <xf numFmtId="1" fontId="75" fillId="0" borderId="139" xfId="15" applyFont="1" applyFill="1" applyBorder="1" applyAlignment="1">
      <alignment horizontal="left"/>
    </xf>
    <xf numFmtId="164" fontId="76" fillId="0" borderId="6" xfId="15" applyNumberFormat="1" applyFont="1" applyFill="1" applyBorder="1" applyAlignment="1">
      <alignment horizontal="left"/>
    </xf>
    <xf numFmtId="12" fontId="75" fillId="0" borderId="129" xfId="15" applyNumberFormat="1" applyFont="1" applyFill="1" applyBorder="1" applyAlignment="1">
      <alignment horizontal="center"/>
    </xf>
    <xf numFmtId="164" fontId="75" fillId="0" borderId="167" xfId="0" applyNumberFormat="1" applyFont="1" applyBorder="1" applyAlignment="1">
      <alignment horizontal="left"/>
    </xf>
    <xf numFmtId="164" fontId="76" fillId="0" borderId="0" xfId="0" applyNumberFormat="1" applyFont="1" applyFill="1" applyBorder="1" applyAlignment="1">
      <alignment horizontal="center"/>
    </xf>
    <xf numFmtId="164" fontId="84" fillId="10" borderId="34" xfId="0" applyNumberFormat="1" applyFont="1" applyFill="1" applyBorder="1" applyAlignment="1">
      <alignment horizontal="center"/>
    </xf>
    <xf numFmtId="1" fontId="75" fillId="0" borderId="96" xfId="15" applyFont="1" applyFill="1" applyBorder="1" applyAlignment="1">
      <alignment horizontal="left"/>
    </xf>
    <xf numFmtId="1" fontId="75" fillId="0" borderId="0" xfId="15" applyFont="1" applyFill="1" applyBorder="1" applyAlignment="1">
      <alignment horizontal="left" vertical="top" wrapText="1"/>
    </xf>
    <xf numFmtId="168" fontId="76" fillId="0" borderId="51" xfId="15" applyNumberFormat="1" applyFont="1" applyFill="1" applyBorder="1" applyAlignment="1">
      <alignment horizontal="center"/>
    </xf>
    <xf numFmtId="1" fontId="75" fillId="0" borderId="30" xfId="15" applyFont="1" applyFill="1" applyBorder="1" applyAlignment="1">
      <alignment horizontal="left"/>
    </xf>
    <xf numFmtId="168" fontId="76" fillId="0" borderId="6" xfId="15" applyNumberFormat="1" applyFont="1" applyFill="1" applyBorder="1" applyAlignment="1">
      <alignment horizontal="center"/>
    </xf>
    <xf numFmtId="1" fontId="76" fillId="0" borderId="0" xfId="15" applyFont="1" applyFill="1" applyBorder="1" applyAlignment="1">
      <alignment horizontal="center"/>
    </xf>
    <xf numFmtId="0" fontId="46" fillId="0" borderId="0" xfId="0" applyFont="1" applyAlignment="1" applyProtection="1">
      <alignment vertical="top" wrapText="1"/>
      <protection hidden="1"/>
    </xf>
    <xf numFmtId="165" fontId="76" fillId="0" borderId="0" xfId="15" applyNumberFormat="1" applyFont="1" applyFill="1" applyBorder="1" applyAlignment="1">
      <alignment horizontal="left"/>
    </xf>
    <xf numFmtId="0" fontId="6" fillId="14" borderId="36" xfId="0" applyFont="1" applyFill="1" applyBorder="1" applyAlignment="1">
      <alignment horizontal="center" vertical="center" wrapText="1"/>
    </xf>
    <xf numFmtId="0" fontId="21" fillId="11" borderId="38" xfId="0" applyFont="1" applyFill="1" applyBorder="1" applyAlignment="1" applyProtection="1">
      <alignment horizontal="center" vertical="center" wrapText="1"/>
    </xf>
    <xf numFmtId="0" fontId="5" fillId="11" borderId="116" xfId="0" quotePrefix="1" applyFont="1" applyFill="1" applyBorder="1" applyAlignment="1" applyProtection="1">
      <alignment horizontal="center" vertical="center"/>
    </xf>
    <xf numFmtId="0" fontId="5" fillId="11" borderId="119" xfId="0" applyFont="1" applyFill="1" applyBorder="1" applyAlignment="1" applyProtection="1">
      <alignment horizontal="center" vertical="center" wrapText="1"/>
    </xf>
    <xf numFmtId="4" fontId="29" fillId="11" borderId="105" xfId="0" applyNumberFormat="1" applyFont="1" applyFill="1" applyBorder="1" applyAlignment="1" applyProtection="1">
      <alignment horizontal="center" vertical="center"/>
    </xf>
    <xf numFmtId="4" fontId="29" fillId="11" borderId="199" xfId="0" applyNumberFormat="1" applyFont="1" applyFill="1" applyBorder="1" applyAlignment="1" applyProtection="1">
      <alignment horizontal="center" vertical="center"/>
    </xf>
    <xf numFmtId="4" fontId="29" fillId="11" borderId="221" xfId="0" applyNumberFormat="1" applyFont="1" applyFill="1" applyBorder="1" applyAlignment="1" applyProtection="1">
      <alignment horizontal="center" vertical="center"/>
    </xf>
    <xf numFmtId="4" fontId="76" fillId="0" borderId="132" xfId="15" applyNumberFormat="1" applyFont="1" applyFill="1" applyBorder="1" applyAlignment="1">
      <alignment horizontal="right"/>
    </xf>
    <xf numFmtId="2" fontId="76" fillId="0" borderId="0" xfId="15" applyNumberFormat="1" applyFont="1" applyFill="1" applyBorder="1" applyAlignment="1">
      <alignment horizontal="left"/>
    </xf>
    <xf numFmtId="0" fontId="53" fillId="0" borderId="0" xfId="0" applyFont="1" applyBorder="1" applyAlignment="1"/>
    <xf numFmtId="0" fontId="53" fillId="0" borderId="113" xfId="0" applyFont="1" applyBorder="1" applyAlignment="1"/>
    <xf numFmtId="0" fontId="86" fillId="0" borderId="0" xfId="0" applyFont="1" applyBorder="1"/>
    <xf numFmtId="174" fontId="76" fillId="0" borderId="0" xfId="0" applyNumberFormat="1" applyFont="1" applyBorder="1"/>
    <xf numFmtId="0" fontId="73" fillId="0" borderId="0" xfId="0" applyFont="1" applyAlignment="1">
      <alignment horizontal="center" readingOrder="1"/>
    </xf>
    <xf numFmtId="0" fontId="76" fillId="0" borderId="0" xfId="0" applyFont="1" applyFill="1" applyBorder="1" applyAlignment="1" applyProtection="1">
      <alignment horizontal="center" vertical="center"/>
      <protection hidden="1"/>
    </xf>
    <xf numFmtId="174" fontId="86" fillId="0" borderId="0" xfId="0" quotePrefix="1" applyNumberFormat="1" applyFont="1" applyBorder="1"/>
    <xf numFmtId="0" fontId="76" fillId="0" borderId="0" xfId="0" applyFont="1" applyBorder="1" applyAlignment="1">
      <alignment horizontal="center"/>
    </xf>
    <xf numFmtId="0" fontId="76" fillId="8" borderId="140" xfId="0" applyFont="1" applyFill="1" applyBorder="1"/>
    <xf numFmtId="0" fontId="77" fillId="8" borderId="141" xfId="0" applyFont="1" applyFill="1" applyBorder="1" applyAlignment="1">
      <alignment horizontal="center"/>
    </xf>
    <xf numFmtId="0" fontId="76" fillId="8" borderId="141" xfId="0" applyFont="1" applyFill="1" applyBorder="1" applyAlignment="1">
      <alignment horizontal="center"/>
    </xf>
    <xf numFmtId="0" fontId="77" fillId="8" borderId="142" xfId="0" applyFont="1" applyFill="1" applyBorder="1" applyAlignment="1">
      <alignment horizontal="center"/>
    </xf>
    <xf numFmtId="0" fontId="76" fillId="8" borderId="18" xfId="0" applyFont="1" applyFill="1" applyBorder="1"/>
    <xf numFmtId="0" fontId="76" fillId="8" borderId="129" xfId="0" applyFont="1" applyFill="1" applyBorder="1" applyAlignment="1">
      <alignment horizontal="center"/>
    </xf>
    <xf numFmtId="0" fontId="76" fillId="8" borderId="130" xfId="0" applyFont="1" applyFill="1" applyBorder="1" applyAlignment="1">
      <alignment horizontal="center"/>
    </xf>
    <xf numFmtId="0" fontId="76" fillId="8" borderId="1" xfId="0" applyFont="1" applyFill="1" applyBorder="1"/>
    <xf numFmtId="0" fontId="76" fillId="8" borderId="1" xfId="0" applyFont="1" applyFill="1" applyBorder="1" applyAlignment="1">
      <alignment horizontal="center"/>
    </xf>
    <xf numFmtId="0" fontId="76" fillId="8" borderId="0" xfId="0" applyFont="1" applyFill="1" applyBorder="1"/>
    <xf numFmtId="2" fontId="76" fillId="8" borderId="0" xfId="0" applyNumberFormat="1" applyFont="1" applyFill="1" applyBorder="1"/>
    <xf numFmtId="0" fontId="76" fillId="0" borderId="143" xfId="0" applyFont="1" applyBorder="1"/>
    <xf numFmtId="49" fontId="77" fillId="0" borderId="144" xfId="0" applyNumberFormat="1" applyFont="1" applyBorder="1" applyAlignment="1">
      <alignment horizontal="center"/>
    </xf>
    <xf numFmtId="0" fontId="76" fillId="0" borderId="144" xfId="0" quotePrefix="1" applyFont="1" applyBorder="1" applyAlignment="1">
      <alignment horizontal="right"/>
    </xf>
    <xf numFmtId="0" fontId="77" fillId="0" borderId="145" xfId="0" quotePrefix="1" applyFont="1" applyBorder="1" applyAlignment="1">
      <alignment horizontal="center"/>
    </xf>
    <xf numFmtId="164" fontId="77" fillId="0" borderId="146" xfId="0" quotePrefix="1" applyNumberFormat="1" applyFont="1" applyBorder="1" applyAlignment="1">
      <alignment horizontal="center"/>
    </xf>
    <xf numFmtId="165" fontId="76" fillId="0" borderId="146" xfId="0" quotePrefix="1" applyNumberFormat="1" applyFont="1" applyBorder="1" applyAlignment="1">
      <alignment horizontal="center"/>
    </xf>
    <xf numFmtId="165" fontId="76" fillId="0" borderId="147" xfId="0" quotePrefix="1" applyNumberFormat="1" applyFont="1" applyBorder="1" applyAlignment="1">
      <alignment horizontal="center"/>
    </xf>
    <xf numFmtId="0" fontId="76" fillId="0" borderId="18" xfId="0" applyFont="1" applyBorder="1"/>
    <xf numFmtId="0" fontId="76" fillId="0" borderId="148" xfId="0" applyFont="1" applyBorder="1" applyAlignment="1">
      <alignment horizontal="center"/>
    </xf>
    <xf numFmtId="0" fontId="76" fillId="0" borderId="149" xfId="0" applyFont="1" applyBorder="1" applyAlignment="1">
      <alignment horizontal="center"/>
    </xf>
    <xf numFmtId="0" fontId="76" fillId="0" borderId="1" xfId="0" applyFont="1" applyBorder="1" applyAlignment="1">
      <alignment horizontal="center"/>
    </xf>
    <xf numFmtId="164" fontId="76" fillId="0" borderId="1" xfId="0" applyNumberFormat="1" applyFont="1" applyBorder="1" applyAlignment="1">
      <alignment horizontal="center"/>
    </xf>
    <xf numFmtId="0" fontId="76" fillId="0" borderId="58" xfId="0" applyFont="1" applyBorder="1"/>
    <xf numFmtId="0" fontId="76" fillId="0" borderId="45" xfId="0" applyFont="1" applyBorder="1"/>
    <xf numFmtId="0" fontId="76" fillId="0" borderId="150" xfId="0" applyFont="1" applyBorder="1"/>
    <xf numFmtId="49" fontId="77" fillId="0" borderId="45" xfId="0" applyNumberFormat="1" applyFont="1" applyBorder="1" applyAlignment="1">
      <alignment horizontal="center"/>
    </xf>
    <xf numFmtId="0" fontId="76" fillId="0" borderId="45" xfId="0" quotePrefix="1" applyFont="1" applyBorder="1" applyAlignment="1">
      <alignment horizontal="right"/>
    </xf>
    <xf numFmtId="0" fontId="77" fillId="0" borderId="151" xfId="0" quotePrefix="1" applyFont="1" applyBorder="1" applyAlignment="1">
      <alignment horizontal="center"/>
    </xf>
    <xf numFmtId="164" fontId="77" fillId="0" borderId="43" xfId="0" applyNumberFormat="1" applyFont="1" applyBorder="1" applyAlignment="1">
      <alignment horizontal="center"/>
    </xf>
    <xf numFmtId="165" fontId="76" fillId="0" borderId="43" xfId="0" applyNumberFormat="1" applyFont="1" applyBorder="1" applyAlignment="1">
      <alignment horizontal="center"/>
    </xf>
    <xf numFmtId="165" fontId="76" fillId="0" borderId="152" xfId="0" applyNumberFormat="1" applyFont="1" applyBorder="1" applyAlignment="1">
      <alignment horizontal="center"/>
    </xf>
    <xf numFmtId="0" fontId="76" fillId="0" borderId="51" xfId="0" applyFont="1" applyBorder="1"/>
    <xf numFmtId="0" fontId="76" fillId="0" borderId="58" xfId="0" applyFont="1" applyBorder="1" applyAlignment="1">
      <alignment horizontal="center"/>
    </xf>
    <xf numFmtId="0" fontId="76" fillId="0" borderId="151" xfId="0" applyFont="1" applyBorder="1" applyAlignment="1">
      <alignment horizontal="center"/>
    </xf>
    <xf numFmtId="2" fontId="81" fillId="0" borderId="0" xfId="0" applyNumberFormat="1" applyFont="1" applyFill="1" applyBorder="1" applyAlignment="1" applyProtection="1">
      <alignment horizontal="center" vertical="center"/>
      <protection hidden="1"/>
    </xf>
    <xf numFmtId="165" fontId="76" fillId="0" borderId="152" xfId="0" quotePrefix="1" applyNumberFormat="1" applyFont="1" applyBorder="1" applyAlignment="1">
      <alignment horizontal="center"/>
    </xf>
    <xf numFmtId="165" fontId="76" fillId="0" borderId="43" xfId="0" quotePrefix="1" applyNumberFormat="1" applyFont="1" applyBorder="1" applyAlignment="1">
      <alignment horizontal="center"/>
    </xf>
    <xf numFmtId="0" fontId="76" fillId="0" borderId="1" xfId="0" applyFont="1" applyFill="1" applyBorder="1" applyAlignment="1">
      <alignment horizontal="center"/>
    </xf>
    <xf numFmtId="0" fontId="76" fillId="0" borderId="58" xfId="0" applyFont="1" applyFill="1" applyBorder="1"/>
    <xf numFmtId="0" fontId="87" fillId="0" borderId="0" xfId="0" applyFont="1" applyFill="1" applyBorder="1" applyAlignment="1" applyProtection="1">
      <alignment vertical="center"/>
      <protection hidden="1"/>
    </xf>
    <xf numFmtId="0" fontId="73" fillId="0" borderId="0" xfId="0" applyFont="1" applyAlignment="1">
      <alignment horizontal="right" readingOrder="1"/>
    </xf>
    <xf numFmtId="0" fontId="76" fillId="0" borderId="153" xfId="0" applyFont="1" applyFill="1" applyBorder="1"/>
    <xf numFmtId="0" fontId="76" fillId="0" borderId="154" xfId="0" applyFont="1" applyBorder="1"/>
    <xf numFmtId="49" fontId="77" fillId="0" borderId="155" xfId="0" applyNumberFormat="1" applyFont="1" applyBorder="1" applyAlignment="1">
      <alignment horizontal="center"/>
    </xf>
    <xf numFmtId="0" fontId="76" fillId="0" borderId="156" xfId="0" applyFont="1" applyBorder="1" applyAlignment="1">
      <alignment horizontal="right"/>
    </xf>
    <xf numFmtId="165" fontId="76" fillId="0" borderId="44" xfId="0" quotePrefix="1" applyNumberFormat="1" applyFont="1" applyBorder="1" applyAlignment="1">
      <alignment horizontal="center"/>
    </xf>
    <xf numFmtId="0" fontId="76" fillId="0" borderId="157" xfId="0" applyFont="1" applyBorder="1"/>
    <xf numFmtId="49" fontId="77" fillId="0" borderId="112" xfId="0" applyNumberFormat="1" applyFont="1" applyBorder="1" applyAlignment="1">
      <alignment horizontal="center"/>
    </xf>
    <xf numFmtId="0" fontId="76" fillId="0" borderId="112" xfId="0" applyFont="1" applyBorder="1" applyAlignment="1">
      <alignment horizontal="right"/>
    </xf>
    <xf numFmtId="0" fontId="76" fillId="0" borderId="42" xfId="0" applyFont="1" applyBorder="1" applyAlignment="1">
      <alignment horizontal="center"/>
    </xf>
    <xf numFmtId="2" fontId="76" fillId="0" borderId="42" xfId="0" applyNumberFormat="1" applyFont="1" applyBorder="1" applyAlignment="1">
      <alignment horizontal="center"/>
    </xf>
    <xf numFmtId="165" fontId="76" fillId="0" borderId="158" xfId="0" applyNumberFormat="1" applyFont="1" applyBorder="1" applyAlignment="1">
      <alignment horizontal="center"/>
    </xf>
    <xf numFmtId="164" fontId="76" fillId="0" borderId="159" xfId="0" quotePrefix="1" applyNumberFormat="1" applyFont="1" applyBorder="1" applyAlignment="1">
      <alignment horizontal="center"/>
    </xf>
    <xf numFmtId="49" fontId="76" fillId="0" borderId="0" xfId="0" applyNumberFormat="1" applyFont="1" applyBorder="1"/>
    <xf numFmtId="0" fontId="76" fillId="0" borderId="6" xfId="0" applyFont="1" applyBorder="1"/>
    <xf numFmtId="0" fontId="76" fillId="0" borderId="45" xfId="0" applyFont="1" applyBorder="1" applyAlignment="1">
      <alignment horizontal="right"/>
    </xf>
    <xf numFmtId="0" fontId="76" fillId="0" borderId="43" xfId="0" applyFont="1" applyBorder="1" applyAlignment="1">
      <alignment horizontal="center"/>
    </xf>
    <xf numFmtId="2" fontId="76" fillId="0" borderId="43" xfId="0" applyNumberFormat="1" applyFont="1" applyBorder="1" applyAlignment="1">
      <alignment horizontal="center"/>
    </xf>
    <xf numFmtId="0" fontId="76" fillId="0" borderId="152" xfId="0" applyFont="1" applyBorder="1" applyAlignment="1">
      <alignment horizontal="center"/>
    </xf>
    <xf numFmtId="0" fontId="77" fillId="0" borderId="0" xfId="0" applyFont="1" applyFill="1" applyBorder="1" applyAlignment="1" applyProtection="1">
      <alignment horizontal="center" vertical="center"/>
      <protection hidden="1"/>
    </xf>
    <xf numFmtId="2" fontId="76" fillId="0" borderId="43" xfId="0" quotePrefix="1" applyNumberFormat="1" applyFont="1" applyBorder="1" applyAlignment="1">
      <alignment horizontal="center"/>
    </xf>
    <xf numFmtId="0" fontId="76" fillId="0" borderId="160" xfId="0" applyFont="1" applyBorder="1" applyAlignment="1">
      <alignment horizontal="center"/>
    </xf>
    <xf numFmtId="165" fontId="76" fillId="0" borderId="161" xfId="0" applyNumberFormat="1" applyFont="1" applyBorder="1" applyAlignment="1">
      <alignment horizontal="center"/>
    </xf>
    <xf numFmtId="2" fontId="87" fillId="0" borderId="0" xfId="0" applyNumberFormat="1" applyFont="1" applyFill="1" applyBorder="1" applyAlignment="1" applyProtection="1">
      <alignment horizontal="center" vertical="center"/>
      <protection hidden="1"/>
    </xf>
    <xf numFmtId="0" fontId="76" fillId="0" borderId="151" xfId="0" applyFont="1" applyBorder="1"/>
    <xf numFmtId="0" fontId="76" fillId="0" borderId="152" xfId="0" applyFont="1" applyBorder="1"/>
    <xf numFmtId="2" fontId="87" fillId="0" borderId="0" xfId="0" quotePrefix="1" applyNumberFormat="1" applyFont="1" applyFill="1" applyBorder="1" applyAlignment="1" applyProtection="1">
      <alignment horizontal="center" vertical="center"/>
      <protection hidden="1"/>
    </xf>
    <xf numFmtId="0" fontId="76" fillId="0" borderId="161" xfId="0" applyFont="1" applyBorder="1" applyAlignment="1">
      <alignment horizontal="center"/>
    </xf>
    <xf numFmtId="0" fontId="76" fillId="0" borderId="0" xfId="0" applyFont="1" applyFill="1" applyBorder="1"/>
    <xf numFmtId="0" fontId="75" fillId="7" borderId="0" xfId="0" applyFont="1" applyFill="1"/>
    <xf numFmtId="0" fontId="76" fillId="7" borderId="0" xfId="0" applyFont="1" applyFill="1"/>
    <xf numFmtId="2" fontId="76" fillId="0" borderId="44" xfId="0" applyNumberFormat="1" applyFont="1" applyBorder="1" applyAlignment="1">
      <alignment horizontal="center"/>
    </xf>
    <xf numFmtId="0" fontId="76" fillId="0" borderId="162" xfId="0" applyFont="1" applyBorder="1"/>
    <xf numFmtId="164" fontId="81" fillId="0" borderId="0" xfId="0" applyNumberFormat="1" applyFont="1" applyFill="1" applyBorder="1" applyAlignment="1" applyProtection="1">
      <alignment horizontal="center" vertical="center"/>
      <protection hidden="1"/>
    </xf>
    <xf numFmtId="0" fontId="76" fillId="3" borderId="31" xfId="0" applyFont="1" applyFill="1" applyBorder="1"/>
    <xf numFmtId="0" fontId="76" fillId="3" borderId="28" xfId="0" applyFont="1" applyFill="1" applyBorder="1"/>
    <xf numFmtId="0" fontId="76" fillId="0" borderId="31" xfId="0" quotePrefix="1" applyFont="1" applyBorder="1" applyAlignment="1">
      <alignment horizontal="left"/>
    </xf>
    <xf numFmtId="0" fontId="76" fillId="0" borderId="31" xfId="0" quotePrefix="1" applyFont="1" applyBorder="1"/>
    <xf numFmtId="0" fontId="76" fillId="0" borderId="31" xfId="0" applyFont="1" applyBorder="1"/>
    <xf numFmtId="2" fontId="76" fillId="0" borderId="0" xfId="0" quotePrefix="1" applyNumberFormat="1" applyFont="1" applyBorder="1" applyAlignment="1">
      <alignment horizontal="center"/>
    </xf>
    <xf numFmtId="164" fontId="81" fillId="0" borderId="0" xfId="0" quotePrefix="1" applyNumberFormat="1" applyFont="1" applyFill="1" applyBorder="1" applyAlignment="1" applyProtection="1">
      <alignment horizontal="center" vertical="center"/>
      <protection hidden="1"/>
    </xf>
    <xf numFmtId="0" fontId="76" fillId="0" borderId="32" xfId="0" applyFont="1" applyBorder="1"/>
    <xf numFmtId="0" fontId="76" fillId="4" borderId="0" xfId="0" applyFont="1" applyFill="1" applyBorder="1" applyAlignment="1">
      <alignment horizontal="center"/>
    </xf>
    <xf numFmtId="165" fontId="76" fillId="0" borderId="0" xfId="0" applyNumberFormat="1" applyFont="1" applyBorder="1" applyAlignment="1">
      <alignment horizontal="center"/>
    </xf>
    <xf numFmtId="2" fontId="76" fillId="4" borderId="45" xfId="0" applyNumberFormat="1" applyFont="1" applyFill="1" applyBorder="1" applyAlignment="1">
      <alignment horizontal="center"/>
    </xf>
    <xf numFmtId="0" fontId="90" fillId="0" borderId="0" xfId="0" applyFont="1" applyAlignment="1">
      <alignment horizontal="center" vertical="center" readingOrder="1"/>
    </xf>
    <xf numFmtId="2" fontId="77" fillId="0" borderId="45" xfId="0" applyNumberFormat="1" applyFont="1" applyBorder="1" applyAlignment="1">
      <alignment horizontal="center"/>
    </xf>
    <xf numFmtId="0" fontId="76" fillId="0" borderId="2" xfId="0" applyFont="1" applyBorder="1"/>
    <xf numFmtId="0" fontId="76" fillId="0" borderId="163" xfId="0" applyFont="1" applyBorder="1"/>
    <xf numFmtId="2" fontId="76" fillId="0" borderId="155" xfId="0" applyNumberFormat="1" applyFont="1" applyBorder="1" applyAlignment="1">
      <alignment horizontal="center"/>
    </xf>
    <xf numFmtId="0" fontId="76" fillId="0" borderId="57" xfId="0" applyFont="1" applyBorder="1"/>
    <xf numFmtId="0" fontId="76" fillId="0" borderId="148" xfId="0" applyFont="1" applyBorder="1"/>
    <xf numFmtId="2" fontId="76" fillId="0" borderId="164" xfId="0" applyNumberFormat="1" applyFont="1" applyBorder="1" applyAlignment="1">
      <alignment horizontal="center"/>
    </xf>
    <xf numFmtId="0" fontId="76" fillId="0" borderId="149" xfId="0" quotePrefix="1" applyFont="1" applyBorder="1"/>
    <xf numFmtId="0" fontId="76" fillId="0" borderId="96" xfId="0" applyFont="1" applyBorder="1"/>
    <xf numFmtId="0" fontId="76" fillId="0" borderId="155" xfId="0" applyFont="1" applyBorder="1" applyAlignment="1">
      <alignment horizontal="center"/>
    </xf>
    <xf numFmtId="2" fontId="76" fillId="0" borderId="165" xfId="0" applyNumberFormat="1" applyFont="1" applyBorder="1" applyAlignment="1">
      <alignment horizontal="center"/>
    </xf>
    <xf numFmtId="2" fontId="76" fillId="0" borderId="112" xfId="0" applyNumberFormat="1" applyFont="1" applyBorder="1" applyAlignment="1">
      <alignment horizontal="center"/>
    </xf>
    <xf numFmtId="0" fontId="76" fillId="8" borderId="166" xfId="0" applyFont="1" applyFill="1" applyBorder="1"/>
    <xf numFmtId="2" fontId="76" fillId="0" borderId="45" xfId="0" applyNumberFormat="1" applyFont="1" applyBorder="1" applyAlignment="1">
      <alignment horizontal="center"/>
    </xf>
    <xf numFmtId="2" fontId="76" fillId="8" borderId="166" xfId="0" applyNumberFormat="1" applyFont="1" applyFill="1" applyBorder="1" applyAlignment="1">
      <alignment horizontal="center"/>
    </xf>
    <xf numFmtId="0" fontId="76" fillId="0" borderId="166" xfId="0" applyFont="1" applyBorder="1"/>
    <xf numFmtId="0" fontId="76" fillId="0" borderId="164" xfId="0" quotePrefix="1" applyFont="1" applyBorder="1" applyAlignment="1">
      <alignment horizontal="center"/>
    </xf>
    <xf numFmtId="165" fontId="76" fillId="0" borderId="32" xfId="0" quotePrefix="1" applyNumberFormat="1" applyFont="1" applyBorder="1" applyAlignment="1">
      <alignment horizontal="center"/>
    </xf>
    <xf numFmtId="9" fontId="81" fillId="0" borderId="0" xfId="8" applyFont="1" applyFill="1" applyBorder="1" applyAlignment="1" applyProtection="1">
      <alignment horizontal="center" vertical="center"/>
      <protection hidden="1"/>
    </xf>
    <xf numFmtId="0" fontId="76" fillId="0" borderId="167" xfId="0" applyNumberFormat="1" applyFont="1" applyBorder="1" applyAlignment="1">
      <alignment horizontal="center"/>
    </xf>
    <xf numFmtId="0" fontId="76" fillId="0" borderId="168" xfId="0" applyNumberFormat="1" applyFont="1" applyBorder="1" applyAlignment="1">
      <alignment horizontal="center"/>
    </xf>
    <xf numFmtId="2" fontId="76" fillId="0" borderId="0" xfId="0" applyNumberFormat="1" applyFont="1" applyBorder="1"/>
    <xf numFmtId="9" fontId="81" fillId="0" borderId="0" xfId="8" quotePrefix="1" applyFont="1" applyFill="1" applyBorder="1" applyAlignment="1" applyProtection="1">
      <alignment horizontal="center" vertical="center"/>
      <protection hidden="1"/>
    </xf>
    <xf numFmtId="0" fontId="76" fillId="8" borderId="1" xfId="0" applyFont="1" applyFill="1" applyBorder="1" applyAlignment="1">
      <alignment vertical="center"/>
    </xf>
    <xf numFmtId="0" fontId="76" fillId="8" borderId="1" xfId="0" applyFont="1" applyFill="1" applyBorder="1" applyAlignment="1">
      <alignment horizontal="center" vertical="center"/>
    </xf>
    <xf numFmtId="0" fontId="76" fillId="0" borderId="46" xfId="0" applyFont="1" applyBorder="1"/>
    <xf numFmtId="2" fontId="76" fillId="6" borderId="155" xfId="0" applyNumberFormat="1" applyFont="1" applyFill="1" applyBorder="1" applyAlignment="1">
      <alignment horizontal="center"/>
    </xf>
    <xf numFmtId="0" fontId="76" fillId="0" borderId="165" xfId="0" applyFont="1" applyBorder="1" applyAlignment="1">
      <alignment horizontal="center"/>
    </xf>
    <xf numFmtId="0" fontId="87" fillId="0" borderId="0" xfId="0" quotePrefix="1" applyFont="1" applyFill="1" applyBorder="1" applyAlignment="1" applyProtection="1">
      <alignment horizontal="center" vertical="center" wrapText="1"/>
      <protection hidden="1"/>
    </xf>
    <xf numFmtId="0" fontId="81" fillId="0" borderId="0" xfId="0" quotePrefix="1" applyFont="1" applyFill="1" applyBorder="1" applyAlignment="1" applyProtection="1">
      <alignment horizontal="center" vertical="center" wrapText="1"/>
      <protection hidden="1"/>
    </xf>
    <xf numFmtId="0" fontId="77" fillId="0" borderId="0" xfId="0" applyFont="1" applyBorder="1" applyAlignment="1">
      <alignment horizontal="center"/>
    </xf>
    <xf numFmtId="0" fontId="76" fillId="0" borderId="0" xfId="0" applyNumberFormat="1" applyFont="1" applyBorder="1" applyAlignment="1">
      <alignment horizontal="center"/>
    </xf>
    <xf numFmtId="0" fontId="76" fillId="0" borderId="164" xfId="0" quotePrefix="1" applyFont="1" applyBorder="1"/>
    <xf numFmtId="2" fontId="76" fillId="0" borderId="0" xfId="0" applyNumberFormat="1" applyFont="1" applyBorder="1" applyAlignment="1">
      <alignment horizontal="center"/>
    </xf>
    <xf numFmtId="0" fontId="76" fillId="0" borderId="0" xfId="0" applyFont="1" applyBorder="1" applyAlignment="1">
      <alignment horizontal="left"/>
    </xf>
    <xf numFmtId="9" fontId="73" fillId="0" borderId="0" xfId="8" applyFont="1" applyFill="1" applyBorder="1" applyAlignment="1" applyProtection="1">
      <alignment vertical="center"/>
      <protection hidden="1"/>
    </xf>
    <xf numFmtId="0" fontId="76" fillId="0" borderId="45" xfId="0" quotePrefix="1" applyFont="1" applyBorder="1" applyAlignment="1">
      <alignment horizontal="center"/>
    </xf>
    <xf numFmtId="0" fontId="76" fillId="0" borderId="45" xfId="0" quotePrefix="1" applyFont="1" applyBorder="1"/>
    <xf numFmtId="1" fontId="81" fillId="0" borderId="0" xfId="0" applyNumberFormat="1" applyFont="1" applyFill="1" applyBorder="1" applyAlignment="1" applyProtection="1">
      <alignment horizontal="center" vertical="center"/>
      <protection hidden="1"/>
    </xf>
    <xf numFmtId="0" fontId="76" fillId="0" borderId="45" xfId="0" applyFont="1" applyBorder="1" applyAlignment="1">
      <alignment horizontal="center"/>
    </xf>
    <xf numFmtId="2" fontId="76" fillId="0" borderId="0" xfId="0" quotePrefix="1" applyNumberFormat="1" applyFont="1" applyBorder="1"/>
    <xf numFmtId="0" fontId="76" fillId="0" borderId="0" xfId="0" quotePrefix="1" applyFont="1" applyBorder="1"/>
    <xf numFmtId="0" fontId="76" fillId="12" borderId="0" xfId="0" quotePrefix="1" applyFont="1" applyFill="1" applyBorder="1"/>
    <xf numFmtId="0" fontId="76" fillId="0" borderId="155" xfId="0" applyNumberFormat="1" applyFont="1" applyBorder="1" applyAlignment="1">
      <alignment horizontal="center"/>
    </xf>
    <xf numFmtId="0" fontId="76" fillId="0" borderId="155" xfId="0" quotePrefix="1" applyFont="1" applyBorder="1"/>
    <xf numFmtId="0" fontId="76" fillId="0" borderId="169" xfId="0" applyFont="1" applyBorder="1"/>
    <xf numFmtId="0" fontId="76" fillId="2" borderId="1" xfId="0" applyFont="1" applyFill="1" applyBorder="1" applyAlignment="1">
      <alignment horizontal="center"/>
    </xf>
    <xf numFmtId="2" fontId="76" fillId="2" borderId="1" xfId="0" applyNumberFormat="1" applyFont="1" applyFill="1" applyBorder="1" applyAlignment="1">
      <alignment horizontal="center"/>
    </xf>
    <xf numFmtId="0" fontId="76" fillId="2" borderId="36" xfId="0" applyFont="1" applyFill="1" applyBorder="1" applyAlignment="1">
      <alignment horizontal="center"/>
    </xf>
    <xf numFmtId="0" fontId="76" fillId="0" borderId="129" xfId="0" applyFont="1" applyBorder="1"/>
    <xf numFmtId="0" fontId="76" fillId="0" borderId="3" xfId="0" applyFont="1" applyBorder="1" applyAlignment="1">
      <alignment horizontal="center"/>
    </xf>
    <xf numFmtId="0" fontId="76" fillId="6" borderId="1" xfId="0" quotePrefix="1" applyFont="1" applyFill="1" applyBorder="1" applyAlignment="1">
      <alignment horizontal="center"/>
    </xf>
    <xf numFmtId="2" fontId="76" fillId="6" borderId="1" xfId="0" applyNumberFormat="1" applyFont="1" applyFill="1" applyBorder="1" applyAlignment="1">
      <alignment horizontal="center"/>
    </xf>
    <xf numFmtId="0" fontId="76" fillId="6" borderId="1" xfId="0" applyFont="1" applyFill="1" applyBorder="1" applyAlignment="1">
      <alignment horizontal="center"/>
    </xf>
    <xf numFmtId="169" fontId="76" fillId="6" borderId="1" xfId="0" applyNumberFormat="1" applyFont="1" applyFill="1" applyBorder="1" applyAlignment="1">
      <alignment horizontal="center"/>
    </xf>
    <xf numFmtId="0" fontId="76" fillId="0" borderId="28" xfId="0" applyFont="1" applyBorder="1"/>
    <xf numFmtId="0" fontId="76" fillId="0" borderId="164" xfId="0" applyFont="1" applyBorder="1" applyAlignment="1">
      <alignment horizontal="center"/>
    </xf>
    <xf numFmtId="0" fontId="76" fillId="0" borderId="164" xfId="0" applyFont="1" applyBorder="1"/>
    <xf numFmtId="0" fontId="76" fillId="0" borderId="170" xfId="0" applyFont="1" applyBorder="1"/>
    <xf numFmtId="0" fontId="76" fillId="0" borderId="171" xfId="0" applyFont="1" applyBorder="1"/>
    <xf numFmtId="0" fontId="81" fillId="0" borderId="0" xfId="0" applyFont="1" applyFill="1" applyBorder="1" applyAlignment="1" applyProtection="1">
      <alignment vertical="center" wrapText="1"/>
      <protection hidden="1"/>
    </xf>
    <xf numFmtId="0" fontId="76" fillId="0" borderId="172" xfId="0" applyFont="1" applyBorder="1"/>
    <xf numFmtId="0" fontId="76" fillId="0" borderId="0" xfId="0" applyFont="1" applyFill="1" applyBorder="1" applyAlignment="1" applyProtection="1">
      <alignment vertical="center"/>
      <protection hidden="1"/>
    </xf>
    <xf numFmtId="0" fontId="76" fillId="0" borderId="7" xfId="0" applyFont="1" applyBorder="1"/>
    <xf numFmtId="0" fontId="76" fillId="0" borderId="30" xfId="0" applyFont="1" applyBorder="1"/>
    <xf numFmtId="0" fontId="76" fillId="0" borderId="173" xfId="0" applyFont="1" applyBorder="1"/>
    <xf numFmtId="0" fontId="76" fillId="0" borderId="167" xfId="0" applyFont="1" applyBorder="1" applyAlignment="1">
      <alignment horizontal="center"/>
    </xf>
    <xf numFmtId="0" fontId="76" fillId="0" borderId="167" xfId="0" quotePrefix="1" applyFont="1" applyBorder="1"/>
    <xf numFmtId="0" fontId="76" fillId="0" borderId="148" xfId="0" applyFont="1" applyBorder="1" applyAlignment="1">
      <alignment horizontal="left"/>
    </xf>
    <xf numFmtId="2" fontId="76" fillId="0" borderId="149" xfId="0" quotePrefix="1" applyNumberFormat="1" applyFont="1" applyBorder="1" applyAlignment="1">
      <alignment horizontal="center"/>
    </xf>
    <xf numFmtId="2" fontId="76" fillId="0" borderId="151" xfId="0" quotePrefix="1" applyNumberFormat="1" applyFont="1" applyBorder="1" applyAlignment="1">
      <alignment horizontal="center"/>
    </xf>
    <xf numFmtId="2" fontId="76" fillId="0" borderId="165" xfId="0" quotePrefix="1" applyNumberFormat="1" applyFont="1" applyBorder="1" applyAlignment="1">
      <alignment horizontal="center"/>
    </xf>
    <xf numFmtId="0" fontId="76" fillId="2" borderId="129" xfId="0" applyFont="1" applyFill="1" applyBorder="1"/>
    <xf numFmtId="0" fontId="76" fillId="2" borderId="130" xfId="0" applyFont="1" applyFill="1" applyBorder="1" applyAlignment="1">
      <alignment horizontal="center"/>
    </xf>
    <xf numFmtId="0" fontId="76" fillId="0" borderId="0" xfId="0" applyFont="1" applyFill="1" applyBorder="1" applyProtection="1">
      <protection hidden="1"/>
    </xf>
    <xf numFmtId="0" fontId="76" fillId="2" borderId="174" xfId="0" applyFont="1" applyFill="1" applyBorder="1" applyAlignment="1">
      <alignment horizontal="center"/>
    </xf>
    <xf numFmtId="0" fontId="77" fillId="2" borderId="130" xfId="0" applyFont="1" applyFill="1" applyBorder="1"/>
    <xf numFmtId="0" fontId="76" fillId="2" borderId="175" xfId="0" applyFont="1" applyFill="1" applyBorder="1" applyAlignment="1">
      <alignment horizontal="center"/>
    </xf>
    <xf numFmtId="2" fontId="76" fillId="2" borderId="36" xfId="0" applyNumberFormat="1" applyFont="1" applyFill="1" applyBorder="1" applyAlignment="1">
      <alignment horizontal="center"/>
    </xf>
    <xf numFmtId="0" fontId="77" fillId="2" borderId="1" xfId="0" applyFont="1" applyFill="1" applyBorder="1" applyAlignment="1">
      <alignment horizontal="center"/>
    </xf>
    <xf numFmtId="9" fontId="76" fillId="2" borderId="36" xfId="8" applyFont="1" applyFill="1" applyBorder="1" applyAlignment="1">
      <alignment horizontal="center"/>
    </xf>
    <xf numFmtId="0" fontId="76" fillId="0" borderId="3" xfId="0" applyFont="1" applyBorder="1"/>
    <xf numFmtId="0" fontId="76" fillId="0" borderId="36" xfId="0" applyFont="1" applyBorder="1"/>
    <xf numFmtId="0" fontId="76" fillId="0" borderId="42" xfId="0" applyFont="1" applyBorder="1"/>
    <xf numFmtId="0" fontId="76" fillId="0" borderId="44" xfId="0" applyFont="1" applyBorder="1" applyAlignment="1">
      <alignment horizontal="center"/>
    </xf>
    <xf numFmtId="0" fontId="77" fillId="0" borderId="43" xfId="0" applyFont="1" applyBorder="1" applyAlignment="1">
      <alignment horizontal="center"/>
    </xf>
    <xf numFmtId="0" fontId="77" fillId="0" borderId="0" xfId="0" applyFont="1" applyFill="1" applyBorder="1" applyAlignment="1">
      <alignment horizontal="center"/>
    </xf>
    <xf numFmtId="0" fontId="76" fillId="0" borderId="176" xfId="0" applyFont="1" applyBorder="1"/>
    <xf numFmtId="2" fontId="76" fillId="0" borderId="158" xfId="0" applyNumberFormat="1" applyFont="1" applyBorder="1" applyAlignment="1">
      <alignment horizontal="center"/>
    </xf>
    <xf numFmtId="0" fontId="76" fillId="0" borderId="43" xfId="0" applyFont="1" applyBorder="1"/>
    <xf numFmtId="0" fontId="76" fillId="0" borderId="0" xfId="0" applyFont="1" applyFill="1" applyBorder="1" applyAlignment="1">
      <alignment horizontal="center"/>
    </xf>
    <xf numFmtId="0" fontId="76" fillId="0" borderId="55" xfId="0" applyFont="1" applyBorder="1"/>
    <xf numFmtId="0" fontId="76" fillId="0" borderId="177" xfId="0" applyFont="1" applyBorder="1"/>
    <xf numFmtId="0" fontId="76" fillId="0" borderId="178" xfId="0" applyFont="1" applyBorder="1"/>
    <xf numFmtId="0" fontId="76" fillId="0" borderId="179" xfId="0" applyFont="1" applyBorder="1"/>
    <xf numFmtId="0" fontId="76" fillId="0" borderId="180" xfId="0" applyFont="1" applyBorder="1"/>
    <xf numFmtId="0" fontId="76" fillId="0" borderId="44" xfId="0" applyFont="1" applyBorder="1"/>
    <xf numFmtId="0" fontId="73" fillId="0" borderId="0" xfId="11" applyFont="1" applyBorder="1" applyAlignment="1">
      <alignment horizontal="center"/>
    </xf>
    <xf numFmtId="0" fontId="81" fillId="9" borderId="0" xfId="0" applyFont="1" applyFill="1" applyBorder="1" applyAlignment="1">
      <alignment vertical="center"/>
    </xf>
    <xf numFmtId="2" fontId="81" fillId="9" borderId="0" xfId="0" applyNumberFormat="1" applyFont="1" applyFill="1" applyBorder="1" applyAlignment="1">
      <alignment vertical="center"/>
    </xf>
    <xf numFmtId="0" fontId="73" fillId="0" borderId="0" xfId="11" applyFont="1" applyFill="1" applyBorder="1" applyAlignment="1">
      <alignment horizontal="center"/>
    </xf>
    <xf numFmtId="0" fontId="73" fillId="0" borderId="0" xfId="14" applyFont="1" applyBorder="1" applyAlignment="1">
      <alignment horizontal="center"/>
    </xf>
    <xf numFmtId="0" fontId="81" fillId="0" borderId="0" xfId="0" applyFont="1" applyBorder="1" applyAlignment="1">
      <alignment vertical="center"/>
    </xf>
    <xf numFmtId="0" fontId="73" fillId="0" borderId="0" xfId="14" applyFont="1" applyBorder="1"/>
    <xf numFmtId="164" fontId="73" fillId="0" borderId="0" xfId="14" applyNumberFormat="1" applyFont="1" applyBorder="1"/>
    <xf numFmtId="2" fontId="81" fillId="0" borderId="0" xfId="0" applyNumberFormat="1" applyFont="1" applyBorder="1" applyAlignment="1">
      <alignment horizontal="center" vertical="center"/>
    </xf>
    <xf numFmtId="0" fontId="81" fillId="0" borderId="0" xfId="0" quotePrefix="1" applyFont="1" applyBorder="1" applyAlignment="1">
      <alignment vertical="center"/>
    </xf>
    <xf numFmtId="0" fontId="81" fillId="0" borderId="0" xfId="0" applyFont="1" applyFill="1" applyBorder="1" applyAlignment="1">
      <alignment vertical="center"/>
    </xf>
    <xf numFmtId="0" fontId="73" fillId="0" borderId="0" xfId="0" applyFont="1" applyAlignment="1">
      <alignment horizontal="left" readingOrder="1"/>
    </xf>
    <xf numFmtId="0" fontId="81" fillId="0" borderId="181" xfId="0" applyFont="1" applyBorder="1" applyAlignment="1">
      <alignment vertical="center"/>
    </xf>
    <xf numFmtId="0" fontId="81" fillId="0" borderId="16" xfId="0" applyFont="1" applyBorder="1" applyAlignment="1">
      <alignment vertical="center"/>
    </xf>
    <xf numFmtId="0" fontId="73" fillId="0" borderId="181" xfId="14" applyFont="1" applyBorder="1"/>
    <xf numFmtId="0" fontId="73" fillId="0" borderId="16" xfId="14" applyFont="1" applyBorder="1"/>
    <xf numFmtId="0" fontId="73" fillId="0" borderId="182" xfId="11" applyFont="1" applyFill="1" applyBorder="1" applyAlignment="1">
      <alignment horizontal="center"/>
    </xf>
    <xf numFmtId="0" fontId="73" fillId="0" borderId="16" xfId="11" applyFont="1" applyFill="1" applyBorder="1" applyAlignment="1">
      <alignment horizontal="center"/>
    </xf>
    <xf numFmtId="0" fontId="73" fillId="0" borderId="176" xfId="11" applyFont="1" applyFill="1" applyBorder="1" applyAlignment="1">
      <alignment horizontal="center"/>
    </xf>
    <xf numFmtId="0" fontId="73" fillId="0" borderId="183" xfId="11" applyFont="1" applyFill="1" applyBorder="1" applyAlignment="1">
      <alignment horizontal="center"/>
    </xf>
    <xf numFmtId="0" fontId="73" fillId="0" borderId="184" xfId="11" applyFont="1" applyFill="1" applyBorder="1" applyAlignment="1">
      <alignment horizontal="center"/>
    </xf>
    <xf numFmtId="0" fontId="73" fillId="0" borderId="180" xfId="11" applyFont="1" applyFill="1" applyBorder="1" applyAlignment="1">
      <alignment horizontal="center"/>
    </xf>
    <xf numFmtId="0" fontId="73" fillId="0" borderId="185" xfId="11" applyFont="1" applyFill="1" applyBorder="1" applyAlignment="1">
      <alignment horizontal="center"/>
    </xf>
    <xf numFmtId="0" fontId="76" fillId="0" borderId="0" xfId="0" applyFont="1" applyAlignment="1">
      <alignment horizontal="right"/>
    </xf>
    <xf numFmtId="164" fontId="76" fillId="0" borderId="182" xfId="0" applyNumberFormat="1" applyFont="1" applyFill="1" applyBorder="1" applyAlignment="1">
      <alignment horizontal="center"/>
    </xf>
    <xf numFmtId="0" fontId="76" fillId="0" borderId="144" xfId="0" quotePrefix="1" applyFont="1" applyBorder="1" applyAlignment="1">
      <alignment horizontal="center"/>
    </xf>
    <xf numFmtId="1" fontId="76" fillId="0" borderId="16" xfId="0" applyNumberFormat="1" applyFont="1" applyFill="1" applyBorder="1" applyAlignment="1">
      <alignment horizontal="right"/>
    </xf>
    <xf numFmtId="164" fontId="76" fillId="0" borderId="176" xfId="0" applyNumberFormat="1" applyFont="1" applyFill="1" applyBorder="1" applyAlignment="1">
      <alignment horizontal="center"/>
    </xf>
    <xf numFmtId="164" fontId="76" fillId="0" borderId="183" xfId="0" applyNumberFormat="1" applyFont="1" applyFill="1" applyBorder="1" applyAlignment="1">
      <alignment horizontal="center"/>
    </xf>
    <xf numFmtId="164" fontId="76" fillId="0" borderId="186" xfId="0" applyNumberFormat="1" applyFont="1" applyFill="1" applyBorder="1" applyAlignment="1">
      <alignment horizontal="center"/>
    </xf>
    <xf numFmtId="164" fontId="76" fillId="0" borderId="55" xfId="0" applyNumberFormat="1" applyFont="1" applyFill="1" applyBorder="1" applyAlignment="1">
      <alignment horizontal="center"/>
    </xf>
    <xf numFmtId="164" fontId="76" fillId="0" borderId="187" xfId="0" applyNumberFormat="1" applyFont="1" applyFill="1" applyBorder="1" applyAlignment="1">
      <alignment horizontal="center"/>
    </xf>
    <xf numFmtId="0" fontId="81" fillId="0" borderId="0" xfId="0" applyFont="1" applyBorder="1" applyAlignment="1">
      <alignment horizontal="right" vertical="center"/>
    </xf>
    <xf numFmtId="0" fontId="73" fillId="0" borderId="0" xfId="14" applyFont="1" applyBorder="1" applyAlignment="1">
      <alignment horizontal="right"/>
    </xf>
    <xf numFmtId="0" fontId="73" fillId="0" borderId="0" xfId="11" applyFont="1" applyBorder="1" applyAlignment="1">
      <alignment horizontal="right"/>
    </xf>
    <xf numFmtId="0" fontId="73" fillId="0" borderId="0" xfId="11" applyFont="1" applyFill="1" applyBorder="1" applyAlignment="1">
      <alignment horizontal="right"/>
    </xf>
    <xf numFmtId="164" fontId="76" fillId="0" borderId="184" xfId="0" applyNumberFormat="1" applyFont="1" applyFill="1" applyBorder="1" applyAlignment="1">
      <alignment horizontal="center"/>
    </xf>
    <xf numFmtId="164" fontId="76" fillId="0" borderId="185" xfId="0" applyNumberFormat="1" applyFont="1" applyFill="1" applyBorder="1" applyAlignment="1">
      <alignment horizontal="center"/>
    </xf>
    <xf numFmtId="164" fontId="76" fillId="0" borderId="0" xfId="0" applyNumberFormat="1" applyFont="1" applyBorder="1"/>
    <xf numFmtId="0" fontId="73" fillId="0" borderId="0" xfId="14" applyFont="1" applyFill="1" applyBorder="1"/>
    <xf numFmtId="0" fontId="76" fillId="0" borderId="0" xfId="0" applyFont="1" applyAlignment="1">
      <alignment horizontal="center"/>
    </xf>
    <xf numFmtId="0" fontId="76" fillId="0" borderId="1" xfId="0" applyFont="1" applyBorder="1"/>
    <xf numFmtId="0" fontId="76" fillId="0" borderId="174" xfId="0" applyFont="1" applyBorder="1"/>
    <xf numFmtId="0" fontId="76" fillId="0" borderId="130" xfId="0" applyFont="1" applyBorder="1"/>
    <xf numFmtId="0" fontId="76" fillId="0" borderId="175" xfId="0" applyFont="1" applyBorder="1"/>
    <xf numFmtId="0" fontId="76" fillId="0" borderId="210" xfId="0" pivotButton="1" applyFont="1" applyBorder="1"/>
    <xf numFmtId="0" fontId="76" fillId="0" borderId="211" xfId="0" applyFont="1" applyBorder="1"/>
    <xf numFmtId="0" fontId="76" fillId="0" borderId="212" xfId="0" applyFont="1" applyBorder="1"/>
    <xf numFmtId="169" fontId="76" fillId="0" borderId="0" xfId="0" applyNumberFormat="1" applyFont="1" applyAlignment="1">
      <alignment horizontal="left"/>
    </xf>
    <xf numFmtId="0" fontId="76" fillId="0" borderId="158" xfId="0" applyNumberFormat="1" applyFont="1" applyBorder="1"/>
    <xf numFmtId="0" fontId="76" fillId="0" borderId="112" xfId="0" applyFont="1" applyBorder="1"/>
    <xf numFmtId="2" fontId="76" fillId="0" borderId="188" xfId="0" applyNumberFormat="1" applyFont="1" applyBorder="1" applyAlignment="1">
      <alignment horizontal="center"/>
    </xf>
    <xf numFmtId="0" fontId="76" fillId="0" borderId="189" xfId="0" applyFont="1" applyBorder="1"/>
    <xf numFmtId="0" fontId="76" fillId="0" borderId="210" xfId="0" applyFont="1" applyBorder="1"/>
    <xf numFmtId="0" fontId="76" fillId="0" borderId="213" xfId="0" applyFont="1" applyBorder="1"/>
    <xf numFmtId="0" fontId="76" fillId="0" borderId="214" xfId="0" applyFont="1" applyBorder="1"/>
    <xf numFmtId="0" fontId="76" fillId="4" borderId="190" xfId="0" applyFont="1" applyFill="1" applyBorder="1" applyAlignment="1">
      <alignment horizontal="center"/>
    </xf>
    <xf numFmtId="0" fontId="76" fillId="3" borderId="18" xfId="0" applyFont="1" applyFill="1" applyBorder="1" applyAlignment="1">
      <alignment horizontal="center"/>
    </xf>
    <xf numFmtId="0" fontId="76" fillId="0" borderId="43" xfId="0" applyNumberFormat="1" applyFont="1" applyFill="1" applyBorder="1"/>
    <xf numFmtId="0" fontId="76" fillId="0" borderId="45" xfId="0" applyFont="1" applyFill="1" applyBorder="1"/>
    <xf numFmtId="164" fontId="76" fillId="0" borderId="151" xfId="0" applyNumberFormat="1" applyFont="1" applyFill="1" applyBorder="1"/>
    <xf numFmtId="0" fontId="76" fillId="0" borderId="56" xfId="0" applyFont="1" applyFill="1" applyBorder="1"/>
    <xf numFmtId="0" fontId="76" fillId="0" borderId="210" xfId="0" applyNumberFormat="1" applyFont="1" applyBorder="1"/>
    <xf numFmtId="0" fontId="76" fillId="0" borderId="213" xfId="0" applyNumberFormat="1" applyFont="1" applyBorder="1"/>
    <xf numFmtId="0" fontId="76" fillId="0" borderId="214" xfId="0" applyNumberFormat="1" applyFont="1" applyBorder="1"/>
    <xf numFmtId="2" fontId="76" fillId="0" borderId="210" xfId="0" applyNumberFormat="1" applyFont="1" applyBorder="1"/>
    <xf numFmtId="2" fontId="76" fillId="0" borderId="213" xfId="0" applyNumberFormat="1" applyFont="1" applyBorder="1"/>
    <xf numFmtId="2" fontId="76" fillId="0" borderId="214" xfId="0" applyNumberFormat="1" applyFont="1" applyBorder="1"/>
    <xf numFmtId="0" fontId="76" fillId="3" borderId="190" xfId="0" applyFont="1" applyFill="1" applyBorder="1" applyAlignment="1">
      <alignment horizontal="center"/>
    </xf>
    <xf numFmtId="0" fontId="76" fillId="0" borderId="215" xfId="0" applyFont="1" applyBorder="1"/>
    <xf numFmtId="0" fontId="76" fillId="0" borderId="215" xfId="0" applyNumberFormat="1" applyFont="1" applyBorder="1"/>
    <xf numFmtId="0" fontId="76" fillId="0" borderId="0" xfId="0" applyNumberFormat="1" applyFont="1"/>
    <xf numFmtId="0" fontId="76" fillId="0" borderId="216" xfId="0" applyNumberFormat="1" applyFont="1" applyBorder="1"/>
    <xf numFmtId="2" fontId="76" fillId="0" borderId="215" xfId="0" applyNumberFormat="1" applyFont="1" applyBorder="1"/>
    <xf numFmtId="2" fontId="76" fillId="0" borderId="0" xfId="0" applyNumberFormat="1" applyFont="1"/>
    <xf numFmtId="2" fontId="76" fillId="0" borderId="216" xfId="0" applyNumberFormat="1" applyFont="1" applyBorder="1"/>
    <xf numFmtId="0" fontId="76" fillId="0" borderId="44" xfId="0" applyNumberFormat="1" applyFont="1" applyBorder="1"/>
    <xf numFmtId="0" fontId="76" fillId="0" borderId="155" xfId="0" applyFont="1" applyBorder="1"/>
    <xf numFmtId="164" fontId="76" fillId="0" borderId="165" xfId="0" applyNumberFormat="1" applyFont="1" applyBorder="1"/>
    <xf numFmtId="0" fontId="76" fillId="0" borderId="191" xfId="0" applyFont="1" applyBorder="1"/>
    <xf numFmtId="164" fontId="76" fillId="0" borderId="188" xfId="0" applyNumberFormat="1" applyFont="1" applyBorder="1"/>
    <xf numFmtId="0" fontId="76" fillId="0" borderId="43" xfId="0" applyNumberFormat="1" applyFont="1" applyBorder="1"/>
    <xf numFmtId="164" fontId="76" fillId="0" borderId="151" xfId="0" applyNumberFormat="1" applyFont="1" applyBorder="1"/>
    <xf numFmtId="0" fontId="76" fillId="0" borderId="56" xfId="0" applyFont="1" applyBorder="1"/>
    <xf numFmtId="0" fontId="76" fillId="2" borderId="43" xfId="0" applyNumberFormat="1" applyFont="1" applyFill="1" applyBorder="1"/>
    <xf numFmtId="0" fontId="76" fillId="2" borderId="45" xfId="0" applyFont="1" applyFill="1" applyBorder="1"/>
    <xf numFmtId="164" fontId="76" fillId="2" borderId="151" xfId="0" applyNumberFormat="1" applyFont="1" applyFill="1" applyBorder="1"/>
    <xf numFmtId="0" fontId="76" fillId="2" borderId="56" xfId="0" applyFont="1" applyFill="1" applyBorder="1"/>
    <xf numFmtId="0" fontId="76" fillId="2" borderId="158" xfId="0" applyNumberFormat="1" applyFont="1" applyFill="1" applyBorder="1"/>
    <xf numFmtId="0" fontId="76" fillId="2" borderId="112" xfId="0" applyFont="1" applyFill="1" applyBorder="1"/>
    <xf numFmtId="164" fontId="76" fillId="2" borderId="188" xfId="0" applyNumberFormat="1" applyFont="1" applyFill="1" applyBorder="1"/>
    <xf numFmtId="0" fontId="76" fillId="2" borderId="189" xfId="0" applyFont="1" applyFill="1" applyBorder="1"/>
    <xf numFmtId="0" fontId="76" fillId="0" borderId="217" xfId="0" applyFont="1" applyBorder="1"/>
    <xf numFmtId="0" fontId="76" fillId="0" borderId="217" xfId="0" applyNumberFormat="1" applyFont="1" applyBorder="1"/>
    <xf numFmtId="0" fontId="76" fillId="0" borderId="218" xfId="0" applyNumberFormat="1" applyFont="1" applyBorder="1"/>
    <xf numFmtId="0" fontId="76" fillId="0" borderId="219" xfId="0" applyNumberFormat="1" applyFont="1" applyBorder="1"/>
    <xf numFmtId="2" fontId="76" fillId="0" borderId="217" xfId="0" applyNumberFormat="1" applyFont="1" applyBorder="1"/>
    <xf numFmtId="2" fontId="76" fillId="0" borderId="218" xfId="0" applyNumberFormat="1" applyFont="1" applyBorder="1"/>
    <xf numFmtId="2" fontId="76" fillId="0" borderId="219" xfId="0" applyNumberFormat="1" applyFont="1" applyBorder="1"/>
    <xf numFmtId="0" fontId="77" fillId="10" borderId="192" xfId="0" applyFont="1" applyFill="1" applyBorder="1" applyAlignment="1">
      <alignment horizontal="center"/>
    </xf>
    <xf numFmtId="0" fontId="76" fillId="0" borderId="112" xfId="0" quotePrefix="1" applyFont="1" applyBorder="1"/>
    <xf numFmtId="0" fontId="77" fillId="0" borderId="1" xfId="0" applyFont="1" applyBorder="1" applyAlignment="1">
      <alignment horizontal="center"/>
    </xf>
    <xf numFmtId="0" fontId="77" fillId="3" borderId="0" xfId="0" applyNumberFormat="1" applyFont="1" applyFill="1" applyBorder="1" applyAlignment="1">
      <alignment horizontal="center"/>
    </xf>
    <xf numFmtId="0" fontId="76" fillId="3" borderId="34" xfId="0" applyFont="1" applyFill="1" applyBorder="1" applyAlignment="1">
      <alignment horizontal="center"/>
    </xf>
    <xf numFmtId="0" fontId="77" fillId="3" borderId="34" xfId="0" applyFont="1" applyFill="1" applyBorder="1" applyAlignment="1">
      <alignment horizontal="center"/>
    </xf>
    <xf numFmtId="0" fontId="76" fillId="3" borderId="126" xfId="0" applyFont="1" applyFill="1" applyBorder="1" applyAlignment="1">
      <alignment horizontal="center"/>
    </xf>
    <xf numFmtId="2" fontId="76" fillId="0" borderId="0" xfId="0" applyNumberFormat="1" applyFont="1" applyAlignment="1">
      <alignment horizontal="center"/>
    </xf>
    <xf numFmtId="0" fontId="77" fillId="0" borderId="1" xfId="0" applyFont="1" applyBorder="1"/>
    <xf numFmtId="0" fontId="76" fillId="0" borderId="129" xfId="0" applyFont="1" applyBorder="1" applyAlignment="1">
      <alignment horizontal="center"/>
    </xf>
    <xf numFmtId="0" fontId="76" fillId="0" borderId="174" xfId="0" applyFont="1" applyBorder="1" applyAlignment="1">
      <alignment horizontal="center"/>
    </xf>
    <xf numFmtId="0" fontId="76" fillId="0" borderId="130" xfId="0" applyFont="1" applyBorder="1" applyAlignment="1">
      <alignment horizontal="center"/>
    </xf>
    <xf numFmtId="2" fontId="76" fillId="0" borderId="148" xfId="0" applyNumberFormat="1" applyFont="1" applyBorder="1" applyAlignment="1">
      <alignment horizontal="center"/>
    </xf>
    <xf numFmtId="2" fontId="76" fillId="0" borderId="149" xfId="0" applyNumberFormat="1" applyFont="1" applyBorder="1" applyAlignment="1">
      <alignment horizontal="center"/>
    </xf>
    <xf numFmtId="0" fontId="78" fillId="0" borderId="0" xfId="0" applyFont="1" applyAlignment="1" applyProtection="1">
      <alignment horizontal="center" vertical="center"/>
      <protection hidden="1"/>
    </xf>
    <xf numFmtId="2" fontId="76" fillId="0" borderId="143" xfId="0" applyNumberFormat="1" applyFont="1" applyBorder="1" applyAlignment="1">
      <alignment horizontal="center"/>
    </xf>
    <xf numFmtId="0" fontId="76" fillId="0" borderId="144" xfId="0" applyFont="1" applyBorder="1"/>
    <xf numFmtId="0" fontId="76" fillId="0" borderId="193" xfId="0" applyFont="1" applyBorder="1"/>
    <xf numFmtId="164" fontId="76" fillId="0" borderId="45" xfId="0" applyNumberFormat="1" applyFont="1" applyBorder="1" applyAlignment="1">
      <alignment horizontal="center"/>
    </xf>
    <xf numFmtId="0" fontId="76" fillId="0" borderId="45" xfId="0" applyNumberFormat="1" applyFont="1" applyBorder="1" applyAlignment="1">
      <alignment horizontal="center"/>
    </xf>
    <xf numFmtId="2" fontId="76" fillId="0" borderId="58" xfId="0" applyNumberFormat="1" applyFont="1" applyBorder="1" applyAlignment="1">
      <alignment horizontal="center"/>
    </xf>
    <xf numFmtId="2" fontId="76" fillId="0" borderId="151" xfId="0" applyNumberFormat="1" applyFont="1" applyBorder="1" applyAlignment="1">
      <alignment horizontal="center"/>
    </xf>
    <xf numFmtId="2" fontId="76" fillId="0" borderId="150" xfId="0" applyNumberFormat="1" applyFont="1" applyBorder="1" applyAlignment="1">
      <alignment horizontal="center"/>
    </xf>
    <xf numFmtId="0" fontId="76" fillId="0" borderId="194" xfId="0" applyFont="1" applyBorder="1"/>
    <xf numFmtId="1" fontId="76" fillId="0" borderId="45" xfId="0" applyNumberFormat="1" applyFont="1" applyBorder="1" applyAlignment="1">
      <alignment horizontal="center"/>
    </xf>
    <xf numFmtId="0" fontId="76" fillId="0" borderId="0" xfId="0" applyFont="1" applyFill="1"/>
    <xf numFmtId="0" fontId="76" fillId="0" borderId="0" xfId="0" quotePrefix="1" applyFont="1"/>
    <xf numFmtId="0" fontId="76" fillId="0" borderId="195" xfId="0" applyFont="1" applyFill="1" applyBorder="1"/>
    <xf numFmtId="164" fontId="76" fillId="0" borderId="111" xfId="0" applyNumberFormat="1" applyFont="1" applyFill="1" applyBorder="1" applyAlignment="1">
      <alignment horizontal="center"/>
    </xf>
    <xf numFmtId="1" fontId="76" fillId="0" borderId="111" xfId="0" applyNumberFormat="1" applyFont="1" applyFill="1" applyBorder="1" applyAlignment="1">
      <alignment horizontal="center"/>
    </xf>
    <xf numFmtId="0" fontId="76" fillId="0" borderId="111" xfId="0" applyFont="1" applyFill="1" applyBorder="1" applyAlignment="1">
      <alignment horizontal="center"/>
    </xf>
    <xf numFmtId="0" fontId="77" fillId="0" borderId="0" xfId="0" applyFont="1"/>
    <xf numFmtId="0" fontId="76" fillId="10" borderId="60" xfId="0" applyFont="1" applyFill="1" applyBorder="1" applyAlignment="1">
      <alignment horizontal="center"/>
    </xf>
    <xf numFmtId="2" fontId="76" fillId="10" borderId="60" xfId="0" applyNumberFormat="1" applyFont="1" applyFill="1" applyBorder="1" applyAlignment="1">
      <alignment horizontal="center"/>
    </xf>
    <xf numFmtId="2" fontId="76" fillId="10" borderId="34" xfId="0" applyNumberFormat="1" applyFont="1" applyFill="1" applyBorder="1" applyAlignment="1">
      <alignment horizontal="center"/>
    </xf>
    <xf numFmtId="0" fontId="76" fillId="10" borderId="34" xfId="0" applyFont="1" applyFill="1" applyBorder="1" applyAlignment="1">
      <alignment horizontal="center"/>
    </xf>
    <xf numFmtId="164" fontId="76" fillId="10" borderId="34" xfId="0" applyNumberFormat="1" applyFont="1" applyFill="1" applyBorder="1" applyAlignment="1">
      <alignment horizontal="center"/>
    </xf>
    <xf numFmtId="0" fontId="76" fillId="10" borderId="34" xfId="0" applyNumberFormat="1" applyFont="1" applyFill="1" applyBorder="1" applyAlignment="1">
      <alignment horizontal="center"/>
    </xf>
    <xf numFmtId="164" fontId="76" fillId="0" borderId="0" xfId="0" applyNumberFormat="1" applyFont="1" applyBorder="1" applyAlignment="1">
      <alignment horizontal="center"/>
    </xf>
    <xf numFmtId="1" fontId="76" fillId="0" borderId="0" xfId="0" applyNumberFormat="1" applyFont="1" applyBorder="1" applyAlignment="1">
      <alignment horizontal="center"/>
    </xf>
    <xf numFmtId="1" fontId="76" fillId="10" borderId="34" xfId="0" applyNumberFormat="1" applyFont="1" applyFill="1" applyBorder="1" applyAlignment="1">
      <alignment horizontal="center"/>
    </xf>
    <xf numFmtId="49" fontId="77" fillId="0" borderId="1" xfId="0" applyNumberFormat="1" applyFont="1" applyBorder="1" applyAlignment="1">
      <alignment horizontal="center"/>
    </xf>
    <xf numFmtId="0" fontId="76" fillId="0" borderId="1" xfId="0" applyFont="1" applyFill="1" applyBorder="1"/>
    <xf numFmtId="1" fontId="77" fillId="0" borderId="3" xfId="15" applyFont="1" applyFill="1" applyBorder="1" applyAlignment="1">
      <alignment horizontal="center"/>
    </xf>
    <xf numFmtId="1" fontId="77" fillId="0" borderId="36" xfId="15" applyFont="1" applyFill="1" applyBorder="1" applyAlignment="1">
      <alignment horizontal="center"/>
    </xf>
    <xf numFmtId="0" fontId="42" fillId="0" borderId="28" xfId="0" applyFont="1" applyBorder="1" applyAlignment="1" applyProtection="1">
      <alignment horizontal="center" vertical="center"/>
      <protection hidden="1"/>
    </xf>
    <xf numFmtId="0" fontId="42" fillId="0" borderId="32" xfId="0" applyFont="1" applyBorder="1" applyAlignment="1" applyProtection="1">
      <alignment horizontal="center" vertical="center"/>
      <protection hidden="1"/>
    </xf>
    <xf numFmtId="0" fontId="42" fillId="0" borderId="7" xfId="0" applyFont="1" applyBorder="1" applyAlignment="1" applyProtection="1">
      <alignment horizontal="center" vertical="center"/>
      <protection hidden="1"/>
    </xf>
    <xf numFmtId="0" fontId="45" fillId="5" borderId="196" xfId="0" applyFont="1" applyFill="1" applyBorder="1" applyAlignment="1" applyProtection="1">
      <alignment horizontal="left" vertical="center"/>
      <protection locked="0" hidden="1"/>
    </xf>
    <xf numFmtId="0" fontId="45" fillId="5" borderId="177" xfId="0" applyFont="1" applyFill="1" applyBorder="1" applyAlignment="1" applyProtection="1">
      <alignment horizontal="left" vertical="center"/>
      <protection locked="0" hidden="1"/>
    </xf>
    <xf numFmtId="0" fontId="45" fillId="5" borderId="178" xfId="0" applyFont="1" applyFill="1" applyBorder="1" applyAlignment="1" applyProtection="1">
      <alignment horizontal="left" vertical="center"/>
      <protection locked="0" hidden="1"/>
    </xf>
    <xf numFmtId="0" fontId="45" fillId="5" borderId="197" xfId="0" applyFont="1" applyFill="1" applyBorder="1" applyAlignment="1" applyProtection="1">
      <alignment horizontal="left" vertical="center"/>
      <protection locked="0" hidden="1"/>
    </xf>
    <xf numFmtId="0" fontId="45" fillId="5" borderId="179" xfId="0" applyFont="1" applyFill="1" applyBorder="1" applyAlignment="1" applyProtection="1">
      <alignment horizontal="left" vertical="center"/>
      <protection locked="0" hidden="1"/>
    </xf>
    <xf numFmtId="0" fontId="45" fillId="5" borderId="180" xfId="0" applyFont="1" applyFill="1" applyBorder="1" applyAlignment="1" applyProtection="1">
      <alignment horizontal="left" vertical="center"/>
      <protection locked="0" hidden="1"/>
    </xf>
    <xf numFmtId="0" fontId="12" fillId="0" borderId="85" xfId="12" applyFont="1" applyFill="1" applyBorder="1" applyAlignment="1" applyProtection="1">
      <alignment horizontal="center" vertical="center"/>
    </xf>
    <xf numFmtId="0" fontId="12" fillId="0" borderId="90" xfId="12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/>
      <protection hidden="1"/>
    </xf>
    <xf numFmtId="0" fontId="45" fillId="0" borderId="197" xfId="0" applyFont="1" applyFill="1" applyBorder="1" applyAlignment="1" applyProtection="1">
      <alignment horizontal="left" vertical="center"/>
      <protection hidden="1"/>
    </xf>
    <xf numFmtId="0" fontId="45" fillId="0" borderId="179" xfId="0" applyFont="1" applyFill="1" applyBorder="1" applyAlignment="1" applyProtection="1">
      <alignment horizontal="left" vertical="center"/>
      <protection hidden="1"/>
    </xf>
    <xf numFmtId="0" fontId="45" fillId="0" borderId="180" xfId="0" applyFont="1" applyFill="1" applyBorder="1" applyAlignment="1" applyProtection="1">
      <alignment horizontal="left" vertical="center"/>
      <protection hidden="1"/>
    </xf>
    <xf numFmtId="0" fontId="45" fillId="0" borderId="196" xfId="0" applyFont="1" applyFill="1" applyBorder="1" applyAlignment="1" applyProtection="1">
      <alignment horizontal="left" vertical="center"/>
      <protection hidden="1"/>
    </xf>
    <xf numFmtId="0" fontId="45" fillId="0" borderId="177" xfId="0" applyFont="1" applyFill="1" applyBorder="1" applyAlignment="1" applyProtection="1">
      <alignment horizontal="left" vertical="center"/>
      <protection hidden="1"/>
    </xf>
    <xf numFmtId="0" fontId="45" fillId="0" borderId="178" xfId="0" applyFont="1" applyFill="1" applyBorder="1" applyAlignment="1" applyProtection="1">
      <alignment horizontal="left" vertical="center"/>
      <protection hidden="1"/>
    </xf>
    <xf numFmtId="2" fontId="24" fillId="2" borderId="9" xfId="0" applyNumberFormat="1" applyFont="1" applyFill="1" applyBorder="1" applyAlignment="1" applyProtection="1">
      <alignment horizontal="center" vertical="center"/>
      <protection hidden="1"/>
    </xf>
    <xf numFmtId="2" fontId="24" fillId="2" borderId="105" xfId="0" applyNumberFormat="1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198" xfId="0" applyFont="1" applyFill="1" applyBorder="1" applyAlignment="1" applyProtection="1">
      <alignment horizontal="center" vertical="center"/>
      <protection hidden="1"/>
    </xf>
    <xf numFmtId="169" fontId="24" fillId="2" borderId="9" xfId="0" applyNumberFormat="1" applyFont="1" applyFill="1" applyBorder="1" applyAlignment="1" applyProtection="1">
      <alignment horizontal="center" vertical="center"/>
      <protection hidden="1"/>
    </xf>
    <xf numFmtId="169" fontId="24" fillId="2" borderId="105" xfId="0" applyNumberFormat="1" applyFont="1" applyFill="1" applyBorder="1" applyAlignment="1" applyProtection="1">
      <alignment horizontal="center" vertical="center"/>
      <protection hidden="1"/>
    </xf>
    <xf numFmtId="169" fontId="24" fillId="2" borderId="4" xfId="0" applyNumberFormat="1" applyFont="1" applyFill="1" applyBorder="1" applyAlignment="1" applyProtection="1">
      <alignment horizontal="center" vertical="center"/>
      <protection hidden="1"/>
    </xf>
    <xf numFmtId="169" fontId="24" fillId="2" borderId="198" xfId="0" applyNumberFormat="1" applyFont="1" applyFill="1" applyBorder="1" applyAlignment="1" applyProtection="1">
      <alignment horizontal="center" vertical="center"/>
      <protection hidden="1"/>
    </xf>
    <xf numFmtId="169" fontId="24" fillId="2" borderId="17" xfId="0" applyNumberFormat="1" applyFont="1" applyFill="1" applyBorder="1" applyAlignment="1" applyProtection="1">
      <alignment horizontal="center" vertical="center"/>
      <protection hidden="1"/>
    </xf>
    <xf numFmtId="169" fontId="24" fillId="2" borderId="199" xfId="0" applyNumberFormat="1" applyFont="1" applyFill="1" applyBorder="1" applyAlignment="1" applyProtection="1">
      <alignment horizontal="center" vertical="center"/>
      <protection hidden="1"/>
    </xf>
    <xf numFmtId="9" fontId="10" fillId="2" borderId="9" xfId="8" applyFont="1" applyFill="1" applyBorder="1" applyAlignment="1" applyProtection="1">
      <alignment horizontal="center" vertical="center"/>
      <protection hidden="1"/>
    </xf>
    <xf numFmtId="9" fontId="10" fillId="2" borderId="105" xfId="8" applyFont="1" applyFill="1" applyBorder="1" applyAlignment="1" applyProtection="1">
      <alignment horizontal="center" vertical="center"/>
      <protection hidden="1"/>
    </xf>
    <xf numFmtId="174" fontId="10" fillId="2" borderId="200" xfId="0" applyNumberFormat="1" applyFont="1" applyFill="1" applyBorder="1" applyAlignment="1" applyProtection="1">
      <alignment horizontal="center" vertical="center" wrapText="1"/>
      <protection hidden="1"/>
    </xf>
    <xf numFmtId="174" fontId="10" fillId="2" borderId="201" xfId="0" applyNumberFormat="1" applyFont="1" applyFill="1" applyBorder="1" applyAlignment="1" applyProtection="1">
      <alignment horizontal="center" vertical="center" wrapText="1"/>
      <protection hidden="1"/>
    </xf>
    <xf numFmtId="0" fontId="42" fillId="0" borderId="57" xfId="0" applyFont="1" applyBorder="1" applyAlignment="1" applyProtection="1">
      <alignment horizontal="center" vertical="center"/>
      <protection hidden="1"/>
    </xf>
    <xf numFmtId="0" fontId="42" fillId="0" borderId="96" xfId="0" applyFont="1" applyBorder="1" applyAlignment="1" applyProtection="1">
      <alignment horizontal="center" vertical="center"/>
      <protection hidden="1"/>
    </xf>
    <xf numFmtId="0" fontId="42" fillId="0" borderId="30" xfId="0" applyFont="1" applyBorder="1" applyAlignment="1" applyProtection="1">
      <alignment horizontal="center" vertical="center"/>
      <protection hidden="1"/>
    </xf>
    <xf numFmtId="14" fontId="45" fillId="0" borderId="52" xfId="0" applyNumberFormat="1" applyFont="1" applyFill="1" applyBorder="1" applyAlignment="1" applyProtection="1">
      <alignment horizontal="center" vertical="center"/>
      <protection hidden="1"/>
    </xf>
    <xf numFmtId="14" fontId="45" fillId="0" borderId="56" xfId="0" applyNumberFormat="1" applyFont="1" applyFill="1" applyBorder="1" applyAlignment="1" applyProtection="1">
      <alignment horizontal="center" vertical="center"/>
      <protection hidden="1"/>
    </xf>
    <xf numFmtId="0" fontId="8" fillId="0" borderId="18" xfId="0" applyFont="1" applyBorder="1" applyAlignment="1" applyProtection="1">
      <alignment horizontal="center" vertical="center" wrapText="1"/>
      <protection hidden="1"/>
    </xf>
    <xf numFmtId="0" fontId="8" fillId="0" borderId="51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1" xfId="0" applyFont="1" applyBorder="1" applyAlignment="1" applyProtection="1">
      <alignment horizontal="left" vertical="center"/>
      <protection hidden="1"/>
    </xf>
    <xf numFmtId="0" fontId="4" fillId="0" borderId="28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166" fontId="23" fillId="0" borderId="0" xfId="0" applyNumberFormat="1" applyFont="1" applyFill="1" applyBorder="1" applyAlignment="1" applyProtection="1">
      <alignment horizontal="left" vertical="center" wrapText="1"/>
      <protection hidden="1"/>
    </xf>
    <xf numFmtId="0" fontId="4" fillId="0" borderId="202" xfId="0" applyFont="1" applyBorder="1" applyAlignment="1" applyProtection="1">
      <alignment horizontal="center" vertical="center"/>
      <protection hidden="1"/>
    </xf>
    <xf numFmtId="0" fontId="4" fillId="0" borderId="203" xfId="0" applyFont="1" applyBorder="1" applyAlignment="1" applyProtection="1">
      <alignment horizontal="center" vertical="center"/>
      <protection hidden="1"/>
    </xf>
    <xf numFmtId="0" fontId="42" fillId="0" borderId="47" xfId="0" applyFont="1" applyBorder="1" applyAlignment="1">
      <alignment horizontal="center" vertical="center"/>
    </xf>
    <xf numFmtId="0" fontId="42" fillId="0" borderId="48" xfId="0" applyFont="1" applyBorder="1" applyAlignment="1">
      <alignment horizontal="center" vertical="center"/>
    </xf>
    <xf numFmtId="0" fontId="42" fillId="0" borderId="49" xfId="0" applyFont="1" applyBorder="1" applyAlignment="1">
      <alignment horizontal="center" vertical="center"/>
    </xf>
    <xf numFmtId="1" fontId="5" fillId="0" borderId="27" xfId="15" applyFont="1" applyFill="1" applyBorder="1" applyAlignment="1">
      <alignment horizontal="left" vertical="center" wrapText="1"/>
    </xf>
    <xf numFmtId="1" fontId="5" fillId="0" borderId="3" xfId="15" applyFont="1" applyFill="1" applyBorder="1" applyAlignment="1">
      <alignment horizontal="left" vertical="center" wrapText="1"/>
    </xf>
    <xf numFmtId="1" fontId="5" fillId="0" borderId="36" xfId="15" applyFont="1" applyFill="1" applyBorder="1" applyAlignment="1">
      <alignment horizontal="left" vertical="center" wrapText="1"/>
    </xf>
    <xf numFmtId="1" fontId="6" fillId="0" borderId="28" xfId="15" applyFont="1" applyFill="1" applyBorder="1" applyAlignment="1">
      <alignment horizontal="center" vertical="center" wrapText="1"/>
    </xf>
    <xf numFmtId="1" fontId="6" fillId="0" borderId="7" xfId="15" applyFont="1" applyFill="1" applyBorder="1" applyAlignment="1">
      <alignment horizontal="center" vertical="center" wrapText="1"/>
    </xf>
    <xf numFmtId="1" fontId="6" fillId="0" borderId="202" xfId="15" applyFont="1" applyFill="1" applyBorder="1" applyAlignment="1">
      <alignment horizontal="center" vertical="center" wrapText="1"/>
    </xf>
    <xf numFmtId="1" fontId="6" fillId="0" borderId="127" xfId="15" applyFont="1" applyFill="1" applyBorder="1" applyAlignment="1">
      <alignment horizontal="center" vertical="center" wrapText="1"/>
    </xf>
    <xf numFmtId="0" fontId="5" fillId="0" borderId="116" xfId="0" quotePrefix="1" applyFont="1" applyFill="1" applyBorder="1" applyAlignment="1">
      <alignment horizontal="center" vertical="center"/>
    </xf>
    <xf numFmtId="2" fontId="5" fillId="0" borderId="119" xfId="0" quotePrefix="1" applyNumberFormat="1" applyFont="1" applyFill="1" applyBorder="1" applyAlignment="1">
      <alignment horizontal="center" vertical="center"/>
    </xf>
    <xf numFmtId="0" fontId="45" fillId="0" borderId="47" xfId="0" applyFont="1" applyBorder="1" applyAlignment="1">
      <alignment horizontal="left" vertical="center" wrapText="1" indent="3"/>
    </xf>
    <xf numFmtId="0" fontId="45" fillId="0" borderId="48" xfId="0" applyFont="1" applyBorder="1" applyAlignment="1">
      <alignment horizontal="left" vertical="center" wrapText="1" indent="3"/>
    </xf>
    <xf numFmtId="0" fontId="45" fillId="0" borderId="204" xfId="0" applyFont="1" applyBorder="1" applyAlignment="1">
      <alignment horizontal="left" vertical="center" wrapText="1" indent="3"/>
    </xf>
    <xf numFmtId="164" fontId="24" fillId="0" borderId="18" xfId="15" applyNumberFormat="1" applyFont="1" applyFill="1" applyBorder="1" applyAlignment="1">
      <alignment horizontal="center" vertical="center"/>
    </xf>
    <xf numFmtId="164" fontId="24" fillId="0" borderId="51" xfId="15" applyNumberFormat="1" applyFont="1" applyFill="1" applyBorder="1" applyAlignment="1">
      <alignment horizontal="center" vertical="center"/>
    </xf>
    <xf numFmtId="164" fontId="24" fillId="0" borderId="6" xfId="15" applyNumberFormat="1" applyFont="1" applyFill="1" applyBorder="1" applyAlignment="1">
      <alignment horizontal="center" vertical="center"/>
    </xf>
    <xf numFmtId="175" fontId="29" fillId="0" borderId="207" xfId="16" applyNumberFormat="1" applyFont="1" applyFill="1" applyBorder="1" applyAlignment="1">
      <alignment horizontal="center" vertical="center"/>
    </xf>
    <xf numFmtId="175" fontId="29" fillId="0" borderId="106" xfId="16" applyNumberFormat="1" applyFont="1" applyFill="1" applyBorder="1" applyAlignment="1">
      <alignment horizontal="center" vertical="center"/>
    </xf>
    <xf numFmtId="0" fontId="21" fillId="5" borderId="206" xfId="0" applyFont="1" applyFill="1" applyBorder="1" applyAlignment="1" applyProtection="1">
      <alignment horizontal="center" vertical="center" wrapText="1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47" fillId="0" borderId="208" xfId="0" applyFont="1" applyBorder="1" applyAlignment="1">
      <alignment horizontal="center" vertical="center" wrapText="1"/>
    </xf>
    <xf numFmtId="0" fontId="47" fillId="0" borderId="48" xfId="0" applyFont="1" applyBorder="1" applyAlignment="1">
      <alignment horizontal="center" vertical="center" wrapText="1"/>
    </xf>
    <xf numFmtId="4" fontId="29" fillId="0" borderId="205" xfId="0" applyNumberFormat="1" applyFont="1" applyFill="1" applyBorder="1" applyAlignment="1">
      <alignment horizontal="center" vertical="center"/>
    </xf>
    <xf numFmtId="4" fontId="29" fillId="0" borderId="104" xfId="0" applyNumberFormat="1" applyFont="1" applyFill="1" applyBorder="1" applyAlignment="1">
      <alignment horizontal="center" vertical="center"/>
    </xf>
    <xf numFmtId="0" fontId="5" fillId="0" borderId="116" xfId="0" quotePrefix="1" applyNumberFormat="1" applyFont="1" applyFill="1" applyBorder="1" applyAlignment="1">
      <alignment horizontal="center" vertical="center"/>
    </xf>
    <xf numFmtId="2" fontId="5" fillId="6" borderId="117" xfId="0" applyNumberFormat="1" applyFont="1" applyFill="1" applyBorder="1" applyAlignment="1" applyProtection="1">
      <alignment horizontal="center" vertical="center" wrapText="1"/>
    </xf>
    <xf numFmtId="1" fontId="6" fillId="0" borderId="31" xfId="15" applyFont="1" applyFill="1" applyBorder="1" applyAlignment="1">
      <alignment horizontal="center" vertical="center" wrapText="1"/>
    </xf>
    <xf numFmtId="1" fontId="6" fillId="0" borderId="2" xfId="15" applyFont="1" applyFill="1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38" fillId="0" borderId="90" xfId="0" applyFont="1" applyBorder="1" applyAlignment="1">
      <alignment horizontal="left" vertical="center" wrapText="1"/>
    </xf>
    <xf numFmtId="0" fontId="38" fillId="0" borderId="25" xfId="0" applyFont="1" applyBorder="1" applyAlignment="1">
      <alignment horizontal="left" vertical="center"/>
    </xf>
    <xf numFmtId="0" fontId="21" fillId="5" borderId="209" xfId="0" applyFont="1" applyFill="1" applyBorder="1" applyAlignment="1" applyProtection="1">
      <alignment horizontal="center" vertical="center" wrapText="1"/>
      <protection locked="0"/>
    </xf>
    <xf numFmtId="0" fontId="53" fillId="0" borderId="52" xfId="0" applyFont="1" applyBorder="1" applyAlignment="1">
      <alignment horizontal="center" vertical="center"/>
    </xf>
    <xf numFmtId="0" fontId="73" fillId="0" borderId="32" xfId="11" applyFont="1" applyBorder="1" applyAlignment="1">
      <alignment horizontal="center" vertical="center" textRotation="90"/>
    </xf>
    <xf numFmtId="0" fontId="73" fillId="0" borderId="7" xfId="11" applyFont="1" applyBorder="1" applyAlignment="1">
      <alignment horizontal="center" vertical="center" textRotation="90"/>
    </xf>
    <xf numFmtId="0" fontId="76" fillId="0" borderId="172" xfId="0" applyFont="1" applyBorder="1" applyAlignment="1">
      <alignment horizontal="center"/>
    </xf>
    <xf numFmtId="0" fontId="76" fillId="0" borderId="56" xfId="0" applyFont="1" applyBorder="1" applyAlignment="1">
      <alignment horizontal="center"/>
    </xf>
    <xf numFmtId="0" fontId="76" fillId="4" borderId="27" xfId="0" applyFont="1" applyFill="1" applyBorder="1" applyAlignment="1">
      <alignment horizontal="center"/>
    </xf>
    <xf numFmtId="0" fontId="76" fillId="4" borderId="36" xfId="0" applyFont="1" applyFill="1" applyBorder="1" applyAlignment="1">
      <alignment horizontal="center"/>
    </xf>
    <xf numFmtId="0" fontId="76" fillId="0" borderId="196" xfId="0" applyFont="1" applyBorder="1" applyAlignment="1">
      <alignment horizontal="center"/>
    </xf>
    <xf numFmtId="0" fontId="76" fillId="0" borderId="178" xfId="0" applyFont="1" applyBorder="1" applyAlignment="1">
      <alignment horizontal="center"/>
    </xf>
    <xf numFmtId="1" fontId="75" fillId="0" borderId="31" xfId="15" applyFont="1" applyFill="1" applyBorder="1" applyAlignment="1">
      <alignment horizontal="left" wrapText="1"/>
    </xf>
    <xf numFmtId="1" fontId="75" fillId="0" borderId="57" xfId="15" applyFont="1" applyFill="1" applyBorder="1" applyAlignment="1">
      <alignment horizontal="left" wrapText="1"/>
    </xf>
    <xf numFmtId="1" fontId="75" fillId="0" borderId="2" xfId="15" applyFont="1" applyFill="1" applyBorder="1" applyAlignment="1">
      <alignment horizontal="left" wrapText="1"/>
    </xf>
    <xf numFmtId="1" fontId="75" fillId="0" borderId="30" xfId="15" applyFont="1" applyFill="1" applyBorder="1" applyAlignment="1">
      <alignment horizontal="left" wrapText="1"/>
    </xf>
    <xf numFmtId="1" fontId="77" fillId="0" borderId="27" xfId="15" applyFont="1" applyFill="1" applyBorder="1" applyAlignment="1">
      <alignment horizontal="center"/>
    </xf>
    <xf numFmtId="1" fontId="77" fillId="0" borderId="3" xfId="15" applyFont="1" applyFill="1" applyBorder="1" applyAlignment="1">
      <alignment horizontal="center"/>
    </xf>
    <xf numFmtId="1" fontId="77" fillId="0" borderId="36" xfId="15" applyFont="1" applyFill="1" applyBorder="1" applyAlignment="1">
      <alignment horizontal="center"/>
    </xf>
    <xf numFmtId="178" fontId="76" fillId="0" borderId="0" xfId="15" applyNumberFormat="1" applyFont="1" applyFill="1" applyBorder="1" applyAlignment="1">
      <alignment horizontal="left"/>
    </xf>
  </cellXfs>
  <cellStyles count="17">
    <cellStyle name="Euro" xfId="1"/>
    <cellStyle name="Milliers [0]_Amarex 1" xfId="2"/>
    <cellStyle name="Milliers_Amarex 1" xfId="3"/>
    <cellStyle name="Monétaire [0]_AP_50_DM" xfId="4"/>
    <cellStyle name="Monétaire_Amarex 1" xfId="5"/>
    <cellStyle name="Normal_Amarex 1" xfId="6"/>
    <cellStyle name="Normal_AP_50_DM" xfId="7"/>
    <cellStyle name="Prozent" xfId="8" builtinId="5"/>
    <cellStyle name="sdf" xfId="9"/>
    <cellStyle name="Standard" xfId="0" builtinId="0"/>
    <cellStyle name="Standard_050,054,061-063 Zubehör.xls" xfId="10"/>
    <cellStyle name="Standard_36_hydraulik" xfId="11"/>
    <cellStyle name="Standard_Berechnung Hebeanlage Qm" xfId="12"/>
    <cellStyle name="Standard_mini-Comp, Compacta_Deutschland 2008" xfId="13"/>
    <cellStyle name="Standard_Wettbewerbsvergleich_Kennlinienraster_PH_Vertrieb" xfId="14"/>
    <cellStyle name="Standard_ZUBEH3A" xfId="15"/>
    <cellStyle name="Währung" xfId="16" builtinId="4"/>
  </cellStyles>
  <dxfs count="40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ndense val="0"/>
        <extend val="0"/>
        <color auto="1"/>
      </font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b/>
        <i val="0"/>
        <condense val="0"/>
        <extend val="0"/>
        <color indexed="18"/>
      </font>
    </dxf>
    <dxf>
      <font>
        <condense val="0"/>
        <extend val="0"/>
        <color auto="1"/>
      </font>
      <fill>
        <patternFill>
          <bgColor indexed="42"/>
        </patternFill>
      </fill>
    </dxf>
    <dxf>
      <fill>
        <patternFill>
          <bgColor theme="0" tint="-0.34998626667073579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ont>
        <b/>
        <i val="0"/>
        <condense val="0"/>
        <extend val="0"/>
        <color indexed="52"/>
      </font>
    </dxf>
    <dxf>
      <font>
        <b/>
        <i val="0"/>
        <condense val="0"/>
        <extend val="0"/>
        <color indexed="52"/>
      </font>
    </dxf>
    <dxf>
      <font>
        <color rgb="FFFF0000"/>
      </font>
    </dxf>
    <dxf>
      <font>
        <b/>
        <i val="0"/>
        <condense val="0"/>
        <extend val="0"/>
        <color indexed="52"/>
      </font>
    </dxf>
    <dxf>
      <font>
        <b/>
        <i val="0"/>
        <condense val="0"/>
        <extend val="0"/>
        <color indexed="1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57735031644726E-2"/>
          <c:y val="3.0188679245282967E-2"/>
          <c:w val="0.8141333257328327"/>
          <c:h val="0.85094339622641724"/>
        </c:manualLayout>
      </c:layout>
      <c:scatterChart>
        <c:scatterStyle val="smoothMarker"/>
        <c:varyColors val="0"/>
        <c:ser>
          <c:idx val="9"/>
          <c:order val="0"/>
          <c:tx>
            <c:strRef>
              <c:f>kalk!$O$4</c:f>
              <c:strCache>
                <c:ptCount val="1"/>
                <c:pt idx="0">
                  <c:v>#WERT!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kalk!$P$5:$P$18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xVal>
          <c:yVal>
            <c:numRef>
              <c:f>kalk!$Q$5:$Q$18</c:f>
              <c:numCache>
                <c:formatCode>0.0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3B5-4BB0-AA63-B74D72EDFF47}"/>
            </c:ext>
          </c:extLst>
        </c:ser>
        <c:ser>
          <c:idx val="3"/>
          <c:order val="1"/>
          <c:tx>
            <c:strRef>
              <c:f>kalk!$J$13</c:f>
              <c:strCache>
                <c:ptCount val="1"/>
                <c:pt idx="0">
                  <c:v>Vertikal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xVal>
            <c:numRef>
              <c:f>kalk!$K$13:$K$14</c:f>
            </c:numRef>
          </c:xVal>
          <c:yVal>
            <c:numRef>
              <c:f>kalk!$L$13:$L$14</c:f>
              <c:numCache>
                <c:formatCode>0.000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3B5-4BB0-AA63-B74D72EDFF47}"/>
            </c:ext>
          </c:extLst>
        </c:ser>
        <c:ser>
          <c:idx val="4"/>
          <c:order val="2"/>
          <c:tx>
            <c:strRef>
              <c:f>kalk!$J$5</c:f>
              <c:strCache>
                <c:ptCount val="1"/>
                <c:pt idx="0">
                  <c:v>horizontal</c:v>
                </c:pt>
              </c:strCache>
            </c:strRef>
          </c:tx>
          <c:spPr>
            <a:ln w="38100">
              <a:solidFill>
                <a:srgbClr val="FF0000"/>
              </a:solidFill>
              <a:prstDash val="lgDash"/>
            </a:ln>
          </c:spPr>
          <c:marker>
            <c:symbol val="none"/>
          </c:marker>
          <c:xVal>
            <c:strRef>
              <c:f>kalk!$K$5:$K$12</c:f>
              <c:strCache>
                <c:ptCount val="7"/>
                <c:pt idx="0">
                  <c:v>0</c:v>
                </c:pt>
                <c:pt idx="1">
                  <c:v>#WERT!</c:v>
                </c:pt>
                <c:pt idx="2">
                  <c:v>#WERT!</c:v>
                </c:pt>
                <c:pt idx="3">
                  <c:v>#WERT!</c:v>
                </c:pt>
                <c:pt idx="4">
                  <c:v>#WERT!</c:v>
                </c:pt>
                <c:pt idx="5">
                  <c:v>#WERT!</c:v>
                </c:pt>
                <c:pt idx="6">
                  <c:v>#WERT!</c:v>
                </c:pt>
              </c:strCache>
            </c:strRef>
          </c:xVal>
          <c:yVal>
            <c:numRef>
              <c:f>kalk!$L$5:$L$12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3B5-4BB0-AA63-B74D72EDFF47}"/>
            </c:ext>
          </c:extLst>
        </c:ser>
        <c:ser>
          <c:idx val="5"/>
          <c:order val="3"/>
          <c:tx>
            <c:strRef>
              <c:f>kalk!$J$15</c:f>
              <c:strCache>
                <c:ptCount val="1"/>
                <c:pt idx="0">
                  <c:v>hor_0_k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kalk!$K$15:$K$16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kalk!$L$15:$L$16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3B5-4BB0-AA63-B74D72EDFF47}"/>
            </c:ext>
          </c:extLst>
        </c:ser>
        <c:ser>
          <c:idx val="0"/>
          <c:order val="4"/>
          <c:tx>
            <c:strRef>
              <c:f>kalk!$J$17</c:f>
              <c:strCache>
                <c:ptCount val="1"/>
                <c:pt idx="0">
                  <c:v>Qmin für DN 80</c:v>
                </c:pt>
              </c:strCache>
            </c:strRef>
          </c:tx>
          <c:spPr>
            <a:ln w="38100">
              <a:solidFill>
                <a:srgbClr val="333300"/>
              </a:solidFill>
              <a:prstDash val="lgDashDotDot"/>
            </a:ln>
          </c:spPr>
          <c:marker>
            <c:symbol val="triangle"/>
            <c:size val="7"/>
            <c:spPr>
              <a:solidFill>
                <a:srgbClr val="33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kalk!$K$19:$K$20</c:f>
              <c:numCache>
                <c:formatCode>0.00</c:formatCode>
                <c:ptCount val="2"/>
                <c:pt idx="0">
                  <c:v>12.6</c:v>
                </c:pt>
                <c:pt idx="1">
                  <c:v>12.6</c:v>
                </c:pt>
              </c:numCache>
            </c:numRef>
          </c:xVal>
          <c:yVal>
            <c:numRef>
              <c:f>kalk!$L$19:$L$20</c:f>
              <c:numCache>
                <c:formatCode>0.000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3B5-4BB0-AA63-B74D72EDFF47}"/>
            </c:ext>
          </c:extLst>
        </c:ser>
        <c:ser>
          <c:idx val="1"/>
          <c:order val="5"/>
          <c:tx>
            <c:strRef>
              <c:f>kalk!$J$21</c:f>
              <c:strCache>
                <c:ptCount val="1"/>
                <c:pt idx="0">
                  <c:v>Qmax für DN 80</c:v>
                </c:pt>
              </c:strCache>
            </c:strRef>
          </c:tx>
          <c:spPr>
            <a:ln w="38100">
              <a:solidFill>
                <a:srgbClr val="003366"/>
              </a:solidFill>
              <a:prstDash val="lgDashDot"/>
            </a:ln>
          </c:spPr>
          <c:marker>
            <c:symbol val="circle"/>
            <c:size val="7"/>
            <c:spPr>
              <a:solidFill>
                <a:srgbClr val="003366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kalk!$K$23:$K$24</c:f>
              <c:numCache>
                <c:formatCode>0.00</c:formatCode>
                <c:ptCount val="2"/>
                <c:pt idx="0">
                  <c:v>42.868414059000301</c:v>
                </c:pt>
                <c:pt idx="1">
                  <c:v>42.868414059000301</c:v>
                </c:pt>
              </c:numCache>
            </c:numRef>
          </c:xVal>
          <c:yVal>
            <c:numRef>
              <c:f>kalk!$L$23:$L$24</c:f>
              <c:numCache>
                <c:formatCode>0.000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3B5-4BB0-AA63-B74D72EDF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112256"/>
        <c:axId val="425112648"/>
      </c:scatterChart>
      <c:valAx>
        <c:axId val="425112256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Q [m³/h]</a:t>
                </a:r>
              </a:p>
            </c:rich>
          </c:tx>
          <c:layout>
            <c:manualLayout>
              <c:xMode val="edge"/>
              <c:yMode val="edge"/>
              <c:x val="0.46236623647850467"/>
              <c:y val="0.9226415094339622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25112648"/>
        <c:crosses val="autoZero"/>
        <c:crossBetween val="midCat"/>
        <c:majorUnit val="4"/>
      </c:valAx>
      <c:valAx>
        <c:axId val="42511264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 [m]</a:t>
                </a:r>
              </a:p>
            </c:rich>
          </c:tx>
          <c:layout>
            <c:manualLayout>
              <c:xMode val="edge"/>
              <c:yMode val="edge"/>
              <c:x val="2.6113671274961597E-2"/>
              <c:y val="0.4283018867924528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25112256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82334998447774665"/>
          <c:y val="3.2075471698113207E-2"/>
          <c:w val="0.16743503836214024"/>
          <c:h val="0.2641509433962264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95" footer="0.4921259845000009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9"/>
          <c:order val="0"/>
          <c:tx>
            <c:strRef>
              <c:f>kalk!$O$4</c:f>
              <c:strCache>
                <c:ptCount val="1"/>
                <c:pt idx="0">
                  <c:v>#WERT!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kalk!$P$5:$P$13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xVal>
          <c:yVal>
            <c:numRef>
              <c:f>kalk!$Q$5:$Q$13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E7-4BF5-ABD2-541C284A83A2}"/>
            </c:ext>
          </c:extLst>
        </c:ser>
        <c:ser>
          <c:idx val="3"/>
          <c:order val="1"/>
          <c:tx>
            <c:strRef>
              <c:f>kalk!$J$13</c:f>
              <c:strCache>
                <c:ptCount val="1"/>
                <c:pt idx="0">
                  <c:v>Vertikal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kalk!$K$13:$K$14</c:f>
            </c:numRef>
          </c:xVal>
          <c:yVal>
            <c:numRef>
              <c:f>kalk!$L$13:$L$14</c:f>
              <c:numCache>
                <c:formatCode>0.000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E7-4BF5-ABD2-541C284A83A2}"/>
            </c:ext>
          </c:extLst>
        </c:ser>
        <c:ser>
          <c:idx val="4"/>
          <c:order val="2"/>
          <c:tx>
            <c:strRef>
              <c:f>kalk!$J$5</c:f>
              <c:strCache>
                <c:ptCount val="1"/>
                <c:pt idx="0">
                  <c:v>horizontal</c:v>
                </c:pt>
              </c:strCache>
            </c:strRef>
          </c:tx>
          <c:spPr>
            <a:ln w="381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strRef>
              <c:f>kalk!$K$5:$K$12</c:f>
              <c:strCache>
                <c:ptCount val="7"/>
                <c:pt idx="0">
                  <c:v>0</c:v>
                </c:pt>
                <c:pt idx="1">
                  <c:v>#WERT!</c:v>
                </c:pt>
                <c:pt idx="2">
                  <c:v>#WERT!</c:v>
                </c:pt>
                <c:pt idx="3">
                  <c:v>#WERT!</c:v>
                </c:pt>
                <c:pt idx="4">
                  <c:v>#WERT!</c:v>
                </c:pt>
                <c:pt idx="5">
                  <c:v>#WERT!</c:v>
                </c:pt>
                <c:pt idx="6">
                  <c:v>#WERT!</c:v>
                </c:pt>
              </c:strCache>
            </c:strRef>
          </c:xVal>
          <c:yVal>
            <c:numRef>
              <c:f>kalk!$L$5:$L$12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E7-4BF5-ABD2-541C284A83A2}"/>
            </c:ext>
          </c:extLst>
        </c:ser>
        <c:ser>
          <c:idx val="5"/>
          <c:order val="3"/>
          <c:tx>
            <c:strRef>
              <c:f>kalk!$J$15</c:f>
              <c:strCache>
                <c:ptCount val="1"/>
                <c:pt idx="0">
                  <c:v>hor_0_k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kalk!$K$15:$K$16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kalk!$L$15:$L$16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FE7-4BF5-ABD2-541C284A83A2}"/>
            </c:ext>
          </c:extLst>
        </c:ser>
        <c:ser>
          <c:idx val="0"/>
          <c:order val="4"/>
          <c:tx>
            <c:strRef>
              <c:f>kalk!$J$17</c:f>
              <c:strCache>
                <c:ptCount val="1"/>
                <c:pt idx="0">
                  <c:v>Qmin für DN 80</c:v>
                </c:pt>
              </c:strCache>
            </c:strRef>
          </c:tx>
          <c:spPr>
            <a:ln w="25400">
              <a:solidFill>
                <a:srgbClr val="333300"/>
              </a:solidFill>
              <a:prstDash val="lgDashDotDot"/>
            </a:ln>
          </c:spPr>
          <c:marker>
            <c:symbol val="triangle"/>
            <c:size val="7"/>
            <c:spPr>
              <a:solidFill>
                <a:srgbClr val="33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kalk!$K$19:$K$20</c:f>
              <c:numCache>
                <c:formatCode>0.00</c:formatCode>
                <c:ptCount val="2"/>
                <c:pt idx="0">
                  <c:v>12.6</c:v>
                </c:pt>
                <c:pt idx="1">
                  <c:v>12.6</c:v>
                </c:pt>
              </c:numCache>
            </c:numRef>
          </c:xVal>
          <c:yVal>
            <c:numRef>
              <c:f>kalk!$L$19:$L$20</c:f>
              <c:numCache>
                <c:formatCode>0.000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FE7-4BF5-ABD2-541C284A83A2}"/>
            </c:ext>
          </c:extLst>
        </c:ser>
        <c:ser>
          <c:idx val="1"/>
          <c:order val="5"/>
          <c:tx>
            <c:strRef>
              <c:f>kalk!$J$21</c:f>
              <c:strCache>
                <c:ptCount val="1"/>
                <c:pt idx="0">
                  <c:v>Qmax für DN 80</c:v>
                </c:pt>
              </c:strCache>
            </c:strRef>
          </c:tx>
          <c:spPr>
            <a:ln w="25400">
              <a:solidFill>
                <a:srgbClr val="003366"/>
              </a:solidFill>
              <a:prstDash val="lgDashDot"/>
            </a:ln>
          </c:spPr>
          <c:marker>
            <c:symbol val="circle"/>
            <c:size val="7"/>
            <c:spPr>
              <a:solidFill>
                <a:srgbClr val="003366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kalk!$K$23:$K$24</c:f>
              <c:numCache>
                <c:formatCode>0.00</c:formatCode>
                <c:ptCount val="2"/>
                <c:pt idx="0">
                  <c:v>42.868414059000301</c:v>
                </c:pt>
                <c:pt idx="1">
                  <c:v>42.868414059000301</c:v>
                </c:pt>
              </c:numCache>
            </c:numRef>
          </c:xVal>
          <c:yVal>
            <c:numRef>
              <c:f>kalk!$L$23:$L$24</c:f>
              <c:numCache>
                <c:formatCode>0.000</c:formatCode>
                <c:ptCount val="2"/>
                <c:pt idx="0" formatCode="General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FE7-4BF5-ABD2-541C284A8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113040"/>
        <c:axId val="502030016"/>
      </c:scatterChart>
      <c:valAx>
        <c:axId val="425113040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Q [m³/h]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2030016"/>
        <c:crosses val="autoZero"/>
        <c:crossBetween val="midCat"/>
        <c:majorUnit val="4"/>
      </c:valAx>
      <c:valAx>
        <c:axId val="50203001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 [m]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2511304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95" footer="0.4921259845000009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4" Type="http://schemas.openxmlformats.org/officeDocument/2006/relationships/image" Target="../media/image4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161925</xdr:colOff>
      <xdr:row>5</xdr:row>
      <xdr:rowOff>28575</xdr:rowOff>
    </xdr:from>
    <xdr:to>
      <xdr:col>12</xdr:col>
      <xdr:colOff>0</xdr:colOff>
      <xdr:row>7</xdr:row>
      <xdr:rowOff>104775</xdr:rowOff>
    </xdr:to>
    <xdr:pic>
      <xdr:nvPicPr>
        <xdr:cNvPr id="1209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02"/>
        <a:stretch>
          <a:fillRect/>
        </a:stretch>
      </xdr:blipFill>
      <xdr:spPr bwMode="auto">
        <a:xfrm>
          <a:off x="9296400" y="819150"/>
          <a:ext cx="10858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276225</xdr:colOff>
      <xdr:row>5</xdr:row>
      <xdr:rowOff>47625</xdr:rowOff>
    </xdr:from>
    <xdr:to>
      <xdr:col>11</xdr:col>
      <xdr:colOff>1590675</xdr:colOff>
      <xdr:row>7</xdr:row>
      <xdr:rowOff>180975</xdr:rowOff>
    </xdr:to>
    <xdr:pic>
      <xdr:nvPicPr>
        <xdr:cNvPr id="176942" name="Picture 3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008"/>
        <a:stretch>
          <a:fillRect/>
        </a:stretch>
      </xdr:blipFill>
      <xdr:spPr bwMode="auto">
        <a:xfrm>
          <a:off x="10772775" y="1038225"/>
          <a:ext cx="1314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495300</xdr:colOff>
      <xdr:row>21</xdr:row>
      <xdr:rowOff>66675</xdr:rowOff>
    </xdr:from>
    <xdr:to>
      <xdr:col>11</xdr:col>
      <xdr:colOff>342900</xdr:colOff>
      <xdr:row>39</xdr:row>
      <xdr:rowOff>95250</xdr:rowOff>
    </xdr:to>
    <xdr:pic>
      <xdr:nvPicPr>
        <xdr:cNvPr id="176943" name="Picture 4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lum bright="30000" contrast="-4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74" t="7777" r="6075" b="2667"/>
        <a:stretch>
          <a:fillRect/>
        </a:stretch>
      </xdr:blipFill>
      <xdr:spPr bwMode="auto">
        <a:xfrm>
          <a:off x="8143875" y="4476750"/>
          <a:ext cx="2695575" cy="381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438150</xdr:colOff>
      <xdr:row>19</xdr:row>
      <xdr:rowOff>180975</xdr:rowOff>
    </xdr:from>
    <xdr:to>
      <xdr:col>12</xdr:col>
      <xdr:colOff>104775</xdr:colOff>
      <xdr:row>44</xdr:row>
      <xdr:rowOff>114300</xdr:rowOff>
    </xdr:to>
    <xdr:graphicFrame macro="">
      <xdr:nvGraphicFramePr>
        <xdr:cNvPr id="176945" name="Chart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50800</xdr:colOff>
      <xdr:row>5</xdr:row>
      <xdr:rowOff>101600</xdr:rowOff>
    </xdr:from>
    <xdr:to>
      <xdr:col>10</xdr:col>
      <xdr:colOff>508000</xdr:colOff>
      <xdr:row>8</xdr:row>
      <xdr:rowOff>76200</xdr:rowOff>
    </xdr:to>
    <xdr:sp macro="" textlink="">
      <xdr:nvSpPr>
        <xdr:cNvPr id="23" name="Rechteck 22"/>
        <xdr:cNvSpPr/>
      </xdr:nvSpPr>
      <xdr:spPr bwMode="auto">
        <a:xfrm>
          <a:off x="9969500" y="1092200"/>
          <a:ext cx="457200" cy="622300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7</xdr:col>
      <xdr:colOff>1020411</xdr:colOff>
      <xdr:row>5</xdr:row>
      <xdr:rowOff>63499</xdr:rowOff>
    </xdr:from>
    <xdr:to>
      <xdr:col>11</xdr:col>
      <xdr:colOff>301442</xdr:colOff>
      <xdr:row>17</xdr:row>
      <xdr:rowOff>203200</xdr:rowOff>
    </xdr:to>
    <xdr:pic>
      <xdr:nvPicPr>
        <xdr:cNvPr id="13" name="Grafik 12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6311" y="1054099"/>
          <a:ext cx="3256131" cy="28321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469900</xdr:colOff>
      <xdr:row>5</xdr:row>
      <xdr:rowOff>0</xdr:rowOff>
    </xdr:from>
    <xdr:to>
      <xdr:col>11</xdr:col>
      <xdr:colOff>190500</xdr:colOff>
      <xdr:row>6</xdr:row>
      <xdr:rowOff>177800</xdr:rowOff>
    </xdr:to>
    <xdr:sp macro="" textlink="">
      <xdr:nvSpPr>
        <xdr:cNvPr id="3" name="Rechteck 2"/>
        <xdr:cNvSpPr/>
      </xdr:nvSpPr>
      <xdr:spPr bwMode="auto">
        <a:xfrm>
          <a:off x="10388600" y="990600"/>
          <a:ext cx="342900" cy="393700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27</xdr:row>
      <xdr:rowOff>152400</xdr:rowOff>
    </xdr:from>
    <xdr:to>
      <xdr:col>5</xdr:col>
      <xdr:colOff>104775</xdr:colOff>
      <xdr:row>27</xdr:row>
      <xdr:rowOff>352425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5019675" y="85248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152400</xdr:colOff>
      <xdr:row>6</xdr:row>
      <xdr:rowOff>38100</xdr:rowOff>
    </xdr:from>
    <xdr:to>
      <xdr:col>12</xdr:col>
      <xdr:colOff>104775</xdr:colOff>
      <xdr:row>7</xdr:row>
      <xdr:rowOff>209550</xdr:rowOff>
    </xdr:to>
    <xdr:pic>
      <xdr:nvPicPr>
        <xdr:cNvPr id="3461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5775" y="1304925"/>
          <a:ext cx="12668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304800</xdr:colOff>
      <xdr:row>38</xdr:row>
      <xdr:rowOff>28575</xdr:rowOff>
    </xdr:from>
    <xdr:to>
      <xdr:col>13</xdr:col>
      <xdr:colOff>514350</xdr:colOff>
      <xdr:row>45</xdr:row>
      <xdr:rowOff>0</xdr:rowOff>
    </xdr:to>
    <xdr:pic>
      <xdr:nvPicPr>
        <xdr:cNvPr id="346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lum bright="30000" contrast="-4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74" t="7777" r="6075" b="2667"/>
        <a:stretch>
          <a:fillRect/>
        </a:stretch>
      </xdr:blipFill>
      <xdr:spPr bwMode="auto">
        <a:xfrm>
          <a:off x="12068175" y="11506200"/>
          <a:ext cx="2295525" cy="2790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152400</xdr:rowOff>
    </xdr:from>
    <xdr:to>
      <xdr:col>5</xdr:col>
      <xdr:colOff>104775</xdr:colOff>
      <xdr:row>28</xdr:row>
      <xdr:rowOff>352425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5019675" y="89058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0</xdr:rowOff>
    </xdr:from>
    <xdr:to>
      <xdr:col>3</xdr:col>
      <xdr:colOff>180975</xdr:colOff>
      <xdr:row>2</xdr:row>
      <xdr:rowOff>171450</xdr:rowOff>
    </xdr:to>
    <xdr:pic>
      <xdr:nvPicPr>
        <xdr:cNvPr id="4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572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19050</xdr:colOff>
      <xdr:row>63</xdr:row>
      <xdr:rowOff>0</xdr:rowOff>
    </xdr:from>
    <xdr:to>
      <xdr:col>3</xdr:col>
      <xdr:colOff>180975</xdr:colOff>
      <xdr:row>65</xdr:row>
      <xdr:rowOff>161925</xdr:rowOff>
    </xdr:to>
    <xdr:pic>
      <xdr:nvPicPr>
        <xdr:cNvPr id="428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810750"/>
          <a:ext cx="10572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0</xdr:colOff>
      <xdr:row>50</xdr:row>
      <xdr:rowOff>133350</xdr:rowOff>
    </xdr:to>
    <xdr:sp macro="" textlink="">
      <xdr:nvSpPr>
        <xdr:cNvPr id="8294" name="Rectangle 7"/>
        <xdr:cNvSpPr>
          <a:spLocks noChangeArrowheads="1"/>
        </xdr:cNvSpPr>
      </xdr:nvSpPr>
      <xdr:spPr bwMode="auto">
        <a:xfrm>
          <a:off x="0" y="0"/>
          <a:ext cx="14039850" cy="82486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390525</xdr:colOff>
      <xdr:row>45</xdr:row>
      <xdr:rowOff>9525</xdr:rowOff>
    </xdr:from>
    <xdr:to>
      <xdr:col>12</xdr:col>
      <xdr:colOff>885825</xdr:colOff>
      <xdr:row>47</xdr:row>
      <xdr:rowOff>85725</xdr:rowOff>
    </xdr:to>
    <xdr:graphicFrame macro="">
      <xdr:nvGraphicFramePr>
        <xdr:cNvPr id="9507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211</xdr:col>
      <xdr:colOff>1181100</xdr:colOff>
      <xdr:row>0</xdr:row>
      <xdr:rowOff>0</xdr:rowOff>
    </xdr:from>
    <xdr:to>
      <xdr:col>247</xdr:col>
      <xdr:colOff>914400</xdr:colOff>
      <xdr:row>203</xdr:row>
      <xdr:rowOff>9525</xdr:rowOff>
    </xdr:to>
    <xdr:sp macro="" textlink="">
      <xdr:nvSpPr>
        <xdr:cNvPr id="9508" name="Rectangle 12"/>
        <xdr:cNvSpPr>
          <a:spLocks noChangeArrowheads="1"/>
        </xdr:cNvSpPr>
      </xdr:nvSpPr>
      <xdr:spPr bwMode="auto">
        <a:xfrm>
          <a:off x="254174625" y="0"/>
          <a:ext cx="44996100" cy="33508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63</xdr:col>
      <xdr:colOff>171450</xdr:colOff>
      <xdr:row>237</xdr:row>
      <xdr:rowOff>19050</xdr:rowOff>
    </xdr:to>
    <xdr:sp macro="" textlink="">
      <xdr:nvSpPr>
        <xdr:cNvPr id="9509" name="Rectangle 86"/>
        <xdr:cNvSpPr>
          <a:spLocks noChangeArrowheads="1"/>
        </xdr:cNvSpPr>
      </xdr:nvSpPr>
      <xdr:spPr bwMode="auto">
        <a:xfrm>
          <a:off x="0" y="0"/>
          <a:ext cx="67070568" cy="3908275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260</xdr:row>
      <xdr:rowOff>19050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0" y="0"/>
          <a:ext cx="11610975" cy="39681150"/>
        </a:xfrm>
        <a:prstGeom prst="rect">
          <a:avLst/>
        </a:prstGeom>
        <a:solidFill>
          <a:sysClr val="window" lastClr="FFFFFF"/>
        </a:solidFill>
        <a:ln>
          <a:noFill/>
        </a:ln>
        <a:extLst/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47</xdr:col>
      <xdr:colOff>104775</xdr:colOff>
      <xdr:row>188</xdr:row>
      <xdr:rowOff>76200</xdr:rowOff>
    </xdr:to>
    <xdr:sp macro="" textlink="">
      <xdr:nvSpPr>
        <xdr:cNvPr id="11357" name="Rectangle 2"/>
        <xdr:cNvSpPr>
          <a:spLocks noChangeArrowheads="1"/>
        </xdr:cNvSpPr>
      </xdr:nvSpPr>
      <xdr:spPr bwMode="auto">
        <a:xfrm>
          <a:off x="0" y="0"/>
          <a:ext cx="27432000" cy="305085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ephan/Preislistenstruktur/PR00%20Preisermittlung/Aggregatepreise/Etareihe%20mit%20Hyadriv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gatzale_old/My%20Documents/daten/powerpoint_dateien/projekte/hebeanlagen/auswahlblatt/end_2008/KSB_HA_2008_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GATZALE/LOCALS~1/Temp/Tempor&#228;res%20Verzeichnis%201%20f&#252;r%20mc_auswahl_010108_00.zip/mc_auswahl_31.12.20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GATZALE/LOCALS~1/Temp/notes782185/Master-Dateien%20Excel%20deutsch/GT_Wasser_Abwasser/002%20-%20107%20Pumpen%20deutsch%202008_GT_W_Abw_Mak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GATZALE/LOCALS~1/Temp/notes782185/0505.6_26%20Preisliste%20Pumpen%20Deutschland%20GT,%20W,%20Abw%202007%20(S.%20002%20-%2010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ya Drive"/>
      <sheetName val="Etaline Z Hya"/>
      <sheetName val="Etaline Hya"/>
      <sheetName val="Etabloc Hya"/>
      <sheetName val="Etanorm Hya"/>
    </sheetNames>
    <sheetDataSet>
      <sheetData sheetId="0" refreshError="1">
        <row r="71">
          <cell r="H71">
            <v>277.10371648910296</v>
          </cell>
        </row>
        <row r="72">
          <cell r="H72">
            <v>309.53528055573531</v>
          </cell>
        </row>
        <row r="73">
          <cell r="H73">
            <v>182.20887031626646</v>
          </cell>
        </row>
        <row r="74">
          <cell r="H74">
            <v>214.64043438289886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m"/>
      <sheetName val="Berechnung"/>
      <sheetName val="A_Text"/>
      <sheetName val="Zubehör"/>
      <sheetName val="an"/>
      <sheetName val="berechnungen"/>
      <sheetName val="db_zub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"/>
      <sheetName val="berechnungen"/>
      <sheetName val="mc_berechnung"/>
      <sheetName val="Qm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EMC"/>
      <sheetName val="PR00"/>
      <sheetName val="Deckblatt"/>
      <sheetName val="Inhaltsverzeichnis"/>
      <sheetName val="S.2 AD"/>
      <sheetName val="S.3 AD"/>
      <sheetName val="S.4 AD"/>
      <sheetName val="S.5 AD"/>
      <sheetName val="S.6 AD"/>
      <sheetName val="S.7 AP"/>
      <sheetName val="S.8 AP"/>
      <sheetName val="S.9 AP ICS"/>
      <sheetName val="S.10 Rotex"/>
      <sheetName val="S.11 MK"/>
      <sheetName val="S.12 MK"/>
      <sheetName val="S.13 MK"/>
      <sheetName val="S.14 MK"/>
      <sheetName val="S.15 MK"/>
      <sheetName val="S.16 MK"/>
      <sheetName val="S.17 MK"/>
      <sheetName val="S.18 MK"/>
      <sheetName val="S.19.1 MK"/>
      <sheetName val="S.19.2 MK"/>
      <sheetName val="S.20 Zubehör"/>
      <sheetName val="S.21 Zubehör"/>
      <sheetName val="S.22 Zubehör"/>
      <sheetName val="S.23 Zubehör"/>
      <sheetName val="S.24 Zubehör"/>
      <sheetName val="S.25 Zubehör"/>
      <sheetName val="S.26 Zubehör"/>
      <sheetName val="S.27 Zubehör"/>
      <sheetName val="S.28 Zubehör"/>
      <sheetName val="S.29 Zubehör"/>
      <sheetName val="S.30 Zubehör"/>
      <sheetName val="S.31 AmarexN"/>
      <sheetName val="S.32 AmarexN"/>
      <sheetName val="S.33 AmarexN"/>
      <sheetName val="S.34 AmarexKRT"/>
      <sheetName val="S.35 AmarexKRT"/>
      <sheetName val="S.36 AmarexKRT"/>
      <sheetName val="S.37 Zubehör"/>
      <sheetName val="S.38 Zubehör"/>
      <sheetName val="S.39 Zubehör"/>
      <sheetName val="S.40 Zubehör"/>
      <sheetName val="S.41 Zubehör"/>
      <sheetName val="S.42 Zubehör"/>
      <sheetName val="S.43 Zubehör"/>
      <sheetName val="S.44 Zubehör"/>
      <sheetName val="S.45 Zubehör"/>
      <sheetName val="S.46 AD-Box"/>
      <sheetName val="S.47 AD-Box"/>
      <sheetName val="S.48 AD-Box"/>
      <sheetName val="S.49 mini-Comp"/>
      <sheetName val="S.50 mini-Comp"/>
      <sheetName val="S.51 Compacta"/>
      <sheetName val="S.52 Compacta"/>
      <sheetName val="S.53 AP-CK-Pumpst"/>
      <sheetName val="S.54 Zubehör"/>
      <sheetName val="S.55 AmarexN CK-Pumpst"/>
      <sheetName val="S.56 AmarexN CK-Pumpst"/>
      <sheetName val="S.57 AmarexN CK-Pumpst"/>
      <sheetName val="S.58 AmarexN CK-Pumpst"/>
      <sheetName val="S.59 Zubehör"/>
      <sheetName val="S.60 Zubehör"/>
      <sheetName val="S.61 Zubehör"/>
      <sheetName val="S.62 Zubehör"/>
      <sheetName val="S.63 MultiEco"/>
      <sheetName val="S.64 MultiEcoPro"/>
      <sheetName val="S.65 MultiEcoTop"/>
      <sheetName val="S.66 Ixo"/>
      <sheetName val="S.67 S 100D"/>
      <sheetName val="S.68 S 100D"/>
      <sheetName val="S.69 S 100D"/>
      <sheetName val="S.70 S 100D"/>
      <sheetName val="S.71 S 100D"/>
      <sheetName val="S.72 SET 100"/>
      <sheetName val="S.73 UPA 100C"/>
      <sheetName val="S.74 UPA 100C"/>
      <sheetName val="S.75 UPA 100C"/>
      <sheetName val="S.76 UPA 150C"/>
      <sheetName val="S.77 UPA 150C"/>
      <sheetName val="S.78 UPA 150C"/>
      <sheetName val="S.79 UPA 150C"/>
      <sheetName val="S.80 UPA 150C"/>
      <sheetName val="S.81 Controlmatic,Cervomatic"/>
      <sheetName val="S.82 Filtra"/>
      <sheetName val="S.83 Hya-Rain,Eco-Rain"/>
      <sheetName val="S.84 IxoRWS_RW"/>
      <sheetName val="S.85 Zubehör"/>
      <sheetName val="S.86 Zubehör"/>
      <sheetName val="S.87 Zubehör"/>
      <sheetName val="S.88 Zubehör"/>
      <sheetName val="S.89 Zubehör"/>
      <sheetName val="S.90 Zubehör"/>
      <sheetName val="S.91 HyaSoloE"/>
      <sheetName val="S.92 HyaSoloD"/>
      <sheetName val="S.93 HyaSoloD"/>
      <sheetName val="S.94 HyaSoloDV"/>
      <sheetName val="S.95 HyaSoloDV"/>
      <sheetName val="S.96 HyaEcoK"/>
      <sheetName val="S.97 HyaEcoK"/>
      <sheetName val="S.98 HyaEcoVP"/>
      <sheetName val="S.99 HyaEcoVP"/>
      <sheetName val="S.100 HyamatK"/>
      <sheetName val="S.101 HyamatK"/>
      <sheetName val="S.102 HyamatK"/>
      <sheetName val="S.103 HyamatK"/>
      <sheetName val="S.104 HyamatK"/>
      <sheetName val="S.105 HyamatK"/>
      <sheetName val="S.106 HyamatK"/>
      <sheetName val="S.107 HyamatK"/>
    </sheetNames>
    <sheetDataSet>
      <sheetData sheetId="0"/>
      <sheetData sheetId="1">
        <row r="1">
          <cell r="B1" t="str">
            <v>PR00 2008</v>
          </cell>
        </row>
        <row r="2">
          <cell r="A2">
            <v>40981752</v>
          </cell>
          <cell r="B2">
            <v>216.51</v>
          </cell>
        </row>
        <row r="3">
          <cell r="A3">
            <v>40981773</v>
          </cell>
          <cell r="B3">
            <v>243.57</v>
          </cell>
        </row>
        <row r="4">
          <cell r="A4">
            <v>40981774</v>
          </cell>
          <cell r="B4">
            <v>431.58</v>
          </cell>
        </row>
        <row r="5">
          <cell r="A5">
            <v>40981754</v>
          </cell>
          <cell r="B5">
            <v>455.48</v>
          </cell>
        </row>
        <row r="6">
          <cell r="A6">
            <v>40981965</v>
          </cell>
          <cell r="B6">
            <v>493.74</v>
          </cell>
        </row>
        <row r="7">
          <cell r="A7">
            <v>40981793</v>
          </cell>
          <cell r="B7">
            <v>735.23</v>
          </cell>
        </row>
        <row r="8">
          <cell r="A8">
            <v>40984251</v>
          </cell>
          <cell r="B8">
            <v>484.16</v>
          </cell>
        </row>
        <row r="9">
          <cell r="A9">
            <v>40982123</v>
          </cell>
          <cell r="B9">
            <v>542.74</v>
          </cell>
        </row>
        <row r="10">
          <cell r="A10">
            <v>40982124</v>
          </cell>
          <cell r="B10">
            <v>551.13</v>
          </cell>
        </row>
        <row r="11">
          <cell r="A11">
            <v>29128651</v>
          </cell>
          <cell r="B11">
            <v>472.82</v>
          </cell>
        </row>
        <row r="12">
          <cell r="A12">
            <v>29128650</v>
          </cell>
          <cell r="B12">
            <v>526.42999999999995</v>
          </cell>
        </row>
        <row r="13">
          <cell r="A13">
            <v>29128652</v>
          </cell>
          <cell r="B13">
            <v>466.72</v>
          </cell>
        </row>
        <row r="14">
          <cell r="A14">
            <v>29128742</v>
          </cell>
          <cell r="B14">
            <v>567.87</v>
          </cell>
        </row>
        <row r="15">
          <cell r="A15">
            <v>29128654</v>
          </cell>
          <cell r="B15">
            <v>519.12</v>
          </cell>
        </row>
        <row r="16">
          <cell r="A16">
            <v>29128653</v>
          </cell>
          <cell r="B16">
            <v>567.87</v>
          </cell>
        </row>
        <row r="17">
          <cell r="A17">
            <v>29128655</v>
          </cell>
          <cell r="B17">
            <v>497.19</v>
          </cell>
        </row>
        <row r="18">
          <cell r="A18">
            <v>29128743</v>
          </cell>
          <cell r="B18">
            <v>606.87</v>
          </cell>
        </row>
        <row r="19">
          <cell r="A19">
            <v>29128657</v>
          </cell>
          <cell r="B19">
            <v>753.1</v>
          </cell>
        </row>
        <row r="20">
          <cell r="A20">
            <v>29128656</v>
          </cell>
          <cell r="B20">
            <v>806.71</v>
          </cell>
        </row>
        <row r="21">
          <cell r="A21">
            <v>29128658</v>
          </cell>
          <cell r="B21">
            <v>728.71</v>
          </cell>
        </row>
        <row r="22">
          <cell r="A22">
            <v>29128744</v>
          </cell>
          <cell r="B22">
            <v>822.55</v>
          </cell>
        </row>
        <row r="23">
          <cell r="A23">
            <v>29128660</v>
          </cell>
          <cell r="B23">
            <v>1052.8699999999999</v>
          </cell>
        </row>
        <row r="24">
          <cell r="A24">
            <v>29128659</v>
          </cell>
          <cell r="B24">
            <v>1111.3499999999999</v>
          </cell>
        </row>
        <row r="25">
          <cell r="A25">
            <v>29128661</v>
          </cell>
          <cell r="B25">
            <v>1028.48</v>
          </cell>
        </row>
        <row r="26">
          <cell r="A26">
            <v>29128745</v>
          </cell>
          <cell r="B26">
            <v>1123.55</v>
          </cell>
        </row>
        <row r="27">
          <cell r="A27">
            <v>29128662</v>
          </cell>
          <cell r="B27">
            <v>1355.07</v>
          </cell>
        </row>
        <row r="28">
          <cell r="A28">
            <v>29128746</v>
          </cell>
          <cell r="B28">
            <v>1453.78</v>
          </cell>
        </row>
        <row r="29">
          <cell r="A29">
            <v>29128865</v>
          </cell>
          <cell r="B29">
            <v>1590.28</v>
          </cell>
        </row>
        <row r="30">
          <cell r="A30">
            <v>29128866</v>
          </cell>
          <cell r="B30">
            <v>1686.52</v>
          </cell>
        </row>
        <row r="31">
          <cell r="A31">
            <v>29128664</v>
          </cell>
          <cell r="B31">
            <v>528.86</v>
          </cell>
        </row>
        <row r="32">
          <cell r="A32">
            <v>29128663</v>
          </cell>
          <cell r="B32">
            <v>582.49</v>
          </cell>
        </row>
        <row r="33">
          <cell r="A33">
            <v>29128665</v>
          </cell>
          <cell r="B33">
            <v>522.77</v>
          </cell>
        </row>
        <row r="34">
          <cell r="A34">
            <v>29128747</v>
          </cell>
          <cell r="B34">
            <v>623.91999999999996</v>
          </cell>
        </row>
        <row r="35">
          <cell r="A35">
            <v>29128667</v>
          </cell>
          <cell r="B35">
            <v>575.17999999999995</v>
          </cell>
        </row>
        <row r="36">
          <cell r="A36">
            <v>29128666</v>
          </cell>
          <cell r="B36">
            <v>623.91999999999996</v>
          </cell>
        </row>
        <row r="37">
          <cell r="A37">
            <v>29128668</v>
          </cell>
          <cell r="B37">
            <v>553.23</v>
          </cell>
        </row>
        <row r="38">
          <cell r="A38">
            <v>29128748</v>
          </cell>
          <cell r="B38">
            <v>662.91</v>
          </cell>
        </row>
        <row r="39">
          <cell r="A39">
            <v>29128670</v>
          </cell>
          <cell r="B39">
            <v>809.14</v>
          </cell>
        </row>
        <row r="40">
          <cell r="A40">
            <v>29128669</v>
          </cell>
          <cell r="B40">
            <v>862.77</v>
          </cell>
        </row>
        <row r="41">
          <cell r="A41">
            <v>29128671</v>
          </cell>
          <cell r="B41">
            <v>784.77</v>
          </cell>
        </row>
        <row r="42">
          <cell r="A42">
            <v>29128749</v>
          </cell>
          <cell r="B42">
            <v>878.6</v>
          </cell>
        </row>
        <row r="43">
          <cell r="A43">
            <v>29128673</v>
          </cell>
          <cell r="B43">
            <v>1108.92</v>
          </cell>
        </row>
        <row r="44">
          <cell r="A44">
            <v>29128672</v>
          </cell>
          <cell r="B44">
            <v>1167.42</v>
          </cell>
        </row>
        <row r="45">
          <cell r="A45">
            <v>29128674</v>
          </cell>
          <cell r="B45">
            <v>1084.56</v>
          </cell>
        </row>
        <row r="46">
          <cell r="A46">
            <v>29128750</v>
          </cell>
          <cell r="B46">
            <v>1179.5999999999999</v>
          </cell>
        </row>
        <row r="47">
          <cell r="A47">
            <v>29128675</v>
          </cell>
          <cell r="B47">
            <v>1411.14</v>
          </cell>
        </row>
        <row r="48">
          <cell r="A48">
            <v>29128751</v>
          </cell>
          <cell r="B48">
            <v>1509.83</v>
          </cell>
        </row>
        <row r="49">
          <cell r="A49">
            <v>29128697</v>
          </cell>
          <cell r="B49">
            <v>1017.54</v>
          </cell>
        </row>
        <row r="50">
          <cell r="A50">
            <v>29128696</v>
          </cell>
          <cell r="B50">
            <v>1083.33</v>
          </cell>
        </row>
        <row r="51">
          <cell r="A51">
            <v>29128698</v>
          </cell>
          <cell r="B51">
            <v>1072.3800000000001</v>
          </cell>
        </row>
        <row r="52">
          <cell r="A52">
            <v>29128755</v>
          </cell>
          <cell r="B52">
            <v>1136.95</v>
          </cell>
        </row>
        <row r="53">
          <cell r="A53">
            <v>29128700</v>
          </cell>
          <cell r="B53">
            <v>1395.29</v>
          </cell>
        </row>
        <row r="54">
          <cell r="A54">
            <v>29128699</v>
          </cell>
          <cell r="B54">
            <v>1431.86</v>
          </cell>
        </row>
        <row r="55">
          <cell r="A55">
            <v>29128701</v>
          </cell>
          <cell r="B55">
            <v>1418.44</v>
          </cell>
        </row>
        <row r="56">
          <cell r="A56">
            <v>29128756</v>
          </cell>
          <cell r="B56">
            <v>1535.43</v>
          </cell>
        </row>
        <row r="57">
          <cell r="A57">
            <v>29128703</v>
          </cell>
          <cell r="B57">
            <v>2026.53</v>
          </cell>
        </row>
        <row r="58">
          <cell r="A58">
            <v>29128702</v>
          </cell>
          <cell r="B58">
            <v>2100.86</v>
          </cell>
        </row>
        <row r="59">
          <cell r="A59">
            <v>29128704</v>
          </cell>
          <cell r="B59">
            <v>2055.77</v>
          </cell>
        </row>
        <row r="60">
          <cell r="A60">
            <v>29128757</v>
          </cell>
          <cell r="B60">
            <v>2128.87</v>
          </cell>
        </row>
        <row r="61">
          <cell r="A61">
            <v>29128706</v>
          </cell>
          <cell r="B61">
            <v>2533.46</v>
          </cell>
        </row>
        <row r="62">
          <cell r="A62">
            <v>29128705</v>
          </cell>
          <cell r="B62">
            <v>2606.5700000000002</v>
          </cell>
        </row>
        <row r="63">
          <cell r="A63">
            <v>29128707</v>
          </cell>
          <cell r="B63">
            <v>2560.27</v>
          </cell>
        </row>
        <row r="64">
          <cell r="A64">
            <v>29128758</v>
          </cell>
          <cell r="B64">
            <v>2633.4</v>
          </cell>
        </row>
        <row r="65">
          <cell r="A65">
            <v>29128708</v>
          </cell>
          <cell r="B65">
            <v>3009.94</v>
          </cell>
        </row>
        <row r="66">
          <cell r="A66">
            <v>29128759</v>
          </cell>
          <cell r="B66">
            <v>3087.91</v>
          </cell>
        </row>
        <row r="67">
          <cell r="A67">
            <v>29128693</v>
          </cell>
          <cell r="B67">
            <v>4096.91</v>
          </cell>
        </row>
        <row r="68">
          <cell r="A68">
            <v>29128694</v>
          </cell>
          <cell r="B68">
            <v>4193.1899999999996</v>
          </cell>
        </row>
        <row r="69">
          <cell r="A69">
            <v>29128723</v>
          </cell>
          <cell r="B69">
            <v>990.73</v>
          </cell>
        </row>
        <row r="70">
          <cell r="A70">
            <v>29128722</v>
          </cell>
          <cell r="B70">
            <v>1019.96</v>
          </cell>
        </row>
        <row r="71">
          <cell r="A71">
            <v>29128724</v>
          </cell>
          <cell r="B71">
            <v>1037.03</v>
          </cell>
        </row>
        <row r="72">
          <cell r="A72">
            <v>29128760</v>
          </cell>
          <cell r="B72">
            <v>1073.5899999999999</v>
          </cell>
        </row>
        <row r="73">
          <cell r="A73">
            <v>29128726</v>
          </cell>
          <cell r="B73">
            <v>1296.57</v>
          </cell>
        </row>
        <row r="74">
          <cell r="A74">
            <v>29128725</v>
          </cell>
          <cell r="B74">
            <v>1331.93</v>
          </cell>
        </row>
        <row r="75">
          <cell r="A75">
            <v>29128727</v>
          </cell>
          <cell r="B75">
            <v>1318.51</v>
          </cell>
        </row>
        <row r="76">
          <cell r="A76">
            <v>29128761</v>
          </cell>
          <cell r="B76">
            <v>1435.51</v>
          </cell>
        </row>
        <row r="77">
          <cell r="A77">
            <v>29128729</v>
          </cell>
          <cell r="B77">
            <v>1898.58</v>
          </cell>
        </row>
        <row r="78">
          <cell r="A78">
            <v>29128728</v>
          </cell>
          <cell r="B78">
            <v>1971.69</v>
          </cell>
        </row>
        <row r="79">
          <cell r="A79">
            <v>29128730</v>
          </cell>
          <cell r="B79">
            <v>1926.6</v>
          </cell>
        </row>
        <row r="80">
          <cell r="A80">
            <v>29128762</v>
          </cell>
          <cell r="B80">
            <v>1999.72</v>
          </cell>
        </row>
        <row r="81">
          <cell r="A81">
            <v>29128732</v>
          </cell>
          <cell r="B81">
            <v>2375.04</v>
          </cell>
        </row>
        <row r="82">
          <cell r="A82">
            <v>29128731</v>
          </cell>
          <cell r="B82">
            <v>2449.38</v>
          </cell>
        </row>
        <row r="83">
          <cell r="A83">
            <v>29128733</v>
          </cell>
          <cell r="B83">
            <v>2403.0700000000002</v>
          </cell>
        </row>
        <row r="84">
          <cell r="A84">
            <v>29128763</v>
          </cell>
          <cell r="B84">
            <v>2476.1799999999998</v>
          </cell>
        </row>
        <row r="85">
          <cell r="A85">
            <v>29128734</v>
          </cell>
          <cell r="B85">
            <v>2830.79</v>
          </cell>
        </row>
        <row r="86">
          <cell r="A86">
            <v>29128764</v>
          </cell>
          <cell r="B86">
            <v>2910.01</v>
          </cell>
        </row>
        <row r="87">
          <cell r="A87">
            <v>29128867</v>
          </cell>
          <cell r="B87">
            <v>3258.53</v>
          </cell>
        </row>
        <row r="88">
          <cell r="A88">
            <v>29128868</v>
          </cell>
          <cell r="B88">
            <v>3374.3</v>
          </cell>
        </row>
        <row r="89">
          <cell r="A89">
            <v>29128677</v>
          </cell>
          <cell r="B89">
            <v>559.34</v>
          </cell>
        </row>
        <row r="90">
          <cell r="A90">
            <v>29128676</v>
          </cell>
          <cell r="B90">
            <v>578.84</v>
          </cell>
        </row>
        <row r="91">
          <cell r="A91">
            <v>29128678</v>
          </cell>
          <cell r="B91">
            <v>621.49</v>
          </cell>
        </row>
        <row r="92">
          <cell r="A92">
            <v>29128752</v>
          </cell>
          <cell r="B92">
            <v>659.27</v>
          </cell>
        </row>
        <row r="93">
          <cell r="A93">
            <v>29128680</v>
          </cell>
          <cell r="B93">
            <v>978.53</v>
          </cell>
        </row>
        <row r="94">
          <cell r="A94">
            <v>29128679</v>
          </cell>
          <cell r="B94">
            <v>1028.48</v>
          </cell>
        </row>
        <row r="95">
          <cell r="A95">
            <v>29128681</v>
          </cell>
          <cell r="B95">
            <v>974.88</v>
          </cell>
        </row>
        <row r="96">
          <cell r="A96">
            <v>29128753</v>
          </cell>
          <cell r="B96">
            <v>1018.75</v>
          </cell>
        </row>
        <row r="97">
          <cell r="A97">
            <v>29128682</v>
          </cell>
          <cell r="B97">
            <v>1681.67</v>
          </cell>
        </row>
        <row r="98">
          <cell r="A98">
            <v>29128754</v>
          </cell>
          <cell r="B98">
            <v>1735.27</v>
          </cell>
        </row>
        <row r="99">
          <cell r="A99">
            <v>29128683</v>
          </cell>
          <cell r="B99">
            <v>1032.1500000000001</v>
          </cell>
        </row>
        <row r="100">
          <cell r="A100">
            <v>29128684</v>
          </cell>
          <cell r="B100">
            <v>1072.3800000000001</v>
          </cell>
        </row>
        <row r="101">
          <cell r="A101">
            <v>29128685</v>
          </cell>
          <cell r="B101">
            <v>1136.95</v>
          </cell>
        </row>
        <row r="102">
          <cell r="A102">
            <v>29128686</v>
          </cell>
          <cell r="B102">
            <v>1178.3800000000001</v>
          </cell>
        </row>
        <row r="103">
          <cell r="A103">
            <v>29128687</v>
          </cell>
          <cell r="B103">
            <v>1391.64</v>
          </cell>
        </row>
        <row r="104">
          <cell r="A104">
            <v>29128688</v>
          </cell>
          <cell r="B104">
            <v>1437.93</v>
          </cell>
        </row>
        <row r="105">
          <cell r="A105">
            <v>29128689</v>
          </cell>
          <cell r="B105">
            <v>1515.93</v>
          </cell>
        </row>
        <row r="106">
          <cell r="A106">
            <v>29128690</v>
          </cell>
          <cell r="B106">
            <v>1558.58</v>
          </cell>
        </row>
        <row r="107">
          <cell r="A107">
            <v>29128691</v>
          </cell>
          <cell r="B107">
            <v>3033.08</v>
          </cell>
        </row>
        <row r="108">
          <cell r="A108">
            <v>29128692</v>
          </cell>
          <cell r="B108">
            <v>3100.11</v>
          </cell>
        </row>
        <row r="109">
          <cell r="A109">
            <v>29117702</v>
          </cell>
          <cell r="B109">
            <v>4532.13</v>
          </cell>
        </row>
        <row r="110">
          <cell r="A110">
            <v>29117703</v>
          </cell>
          <cell r="B110">
            <v>4607.43</v>
          </cell>
        </row>
        <row r="111">
          <cell r="A111">
            <v>29117706</v>
          </cell>
          <cell r="B111">
            <v>5220.72</v>
          </cell>
        </row>
        <row r="112">
          <cell r="A112">
            <v>29117707</v>
          </cell>
          <cell r="B112">
            <v>5353.42</v>
          </cell>
        </row>
        <row r="113">
          <cell r="A113">
            <v>29117722</v>
          </cell>
          <cell r="B113">
            <v>4650.46</v>
          </cell>
        </row>
        <row r="114">
          <cell r="A114">
            <v>29117723</v>
          </cell>
          <cell r="B114">
            <v>4730.57</v>
          </cell>
        </row>
        <row r="115">
          <cell r="A115">
            <v>29117726</v>
          </cell>
          <cell r="B115">
            <v>5377.34</v>
          </cell>
        </row>
        <row r="116">
          <cell r="A116">
            <v>29117727</v>
          </cell>
          <cell r="B116">
            <v>5493.29</v>
          </cell>
        </row>
        <row r="117">
          <cell r="A117">
            <v>39017187</v>
          </cell>
          <cell r="B117">
            <v>484.16</v>
          </cell>
        </row>
        <row r="118">
          <cell r="A118">
            <v>39017100</v>
          </cell>
          <cell r="B118">
            <v>555.9</v>
          </cell>
        </row>
        <row r="119">
          <cell r="A119">
            <v>39017101</v>
          </cell>
          <cell r="B119">
            <v>750.79</v>
          </cell>
        </row>
        <row r="120">
          <cell r="A120">
            <v>39017102</v>
          </cell>
          <cell r="B120">
            <v>750.79</v>
          </cell>
        </row>
        <row r="121">
          <cell r="A121">
            <v>39017106</v>
          </cell>
          <cell r="B121">
            <v>891.84</v>
          </cell>
        </row>
        <row r="122">
          <cell r="A122">
            <v>39017107</v>
          </cell>
          <cell r="B122">
            <v>957.59</v>
          </cell>
        </row>
        <row r="123">
          <cell r="A123">
            <v>39017108</v>
          </cell>
          <cell r="B123">
            <v>957.59</v>
          </cell>
        </row>
        <row r="124">
          <cell r="A124">
            <v>39018468</v>
          </cell>
          <cell r="B124">
            <v>1417.86</v>
          </cell>
        </row>
        <row r="125">
          <cell r="A125">
            <v>39017195</v>
          </cell>
          <cell r="B125">
            <v>484.16</v>
          </cell>
        </row>
        <row r="126">
          <cell r="A126">
            <v>39017188</v>
          </cell>
          <cell r="B126">
            <v>555.9</v>
          </cell>
        </row>
        <row r="127">
          <cell r="A127">
            <v>39017189</v>
          </cell>
          <cell r="B127">
            <v>750.79</v>
          </cell>
        </row>
        <row r="128">
          <cell r="A128">
            <v>39017190</v>
          </cell>
          <cell r="B128">
            <v>750.79</v>
          </cell>
        </row>
        <row r="129">
          <cell r="A129">
            <v>39017192</v>
          </cell>
          <cell r="B129">
            <v>891.84</v>
          </cell>
        </row>
        <row r="130">
          <cell r="A130">
            <v>39017193</v>
          </cell>
          <cell r="B130">
            <v>957.59</v>
          </cell>
        </row>
        <row r="131">
          <cell r="A131">
            <v>39017194</v>
          </cell>
          <cell r="B131">
            <v>957.59</v>
          </cell>
        </row>
        <row r="132">
          <cell r="A132">
            <v>39018469</v>
          </cell>
          <cell r="B132">
            <v>1417.86</v>
          </cell>
        </row>
        <row r="133">
          <cell r="A133">
            <v>39017191</v>
          </cell>
          <cell r="B133">
            <v>484.16</v>
          </cell>
        </row>
        <row r="134">
          <cell r="A134">
            <v>39017103</v>
          </cell>
          <cell r="B134">
            <v>555.9</v>
          </cell>
        </row>
        <row r="135">
          <cell r="A135">
            <v>39017104</v>
          </cell>
          <cell r="B135">
            <v>750.79</v>
          </cell>
        </row>
        <row r="136">
          <cell r="A136">
            <v>39017105</v>
          </cell>
          <cell r="B136">
            <v>859.55</v>
          </cell>
        </row>
        <row r="137">
          <cell r="A137">
            <v>39017109</v>
          </cell>
          <cell r="B137">
            <v>891.84</v>
          </cell>
        </row>
        <row r="138">
          <cell r="A138">
            <v>39017110</v>
          </cell>
          <cell r="B138">
            <v>957.59</v>
          </cell>
        </row>
        <row r="139">
          <cell r="A139">
            <v>39017111</v>
          </cell>
          <cell r="B139">
            <v>1044.8599999999999</v>
          </cell>
        </row>
        <row r="140">
          <cell r="A140">
            <v>39017859</v>
          </cell>
          <cell r="B140">
            <v>1268.42</v>
          </cell>
        </row>
        <row r="141">
          <cell r="A141">
            <v>39018542</v>
          </cell>
          <cell r="B141">
            <v>587</v>
          </cell>
        </row>
        <row r="142">
          <cell r="A142">
            <v>39018543</v>
          </cell>
          <cell r="B142">
            <v>657.51</v>
          </cell>
        </row>
        <row r="143">
          <cell r="A143">
            <v>39018544</v>
          </cell>
          <cell r="B143">
            <v>853.56</v>
          </cell>
        </row>
        <row r="144">
          <cell r="A144">
            <v>39018545</v>
          </cell>
          <cell r="B144">
            <v>853.56</v>
          </cell>
        </row>
        <row r="145">
          <cell r="A145">
            <v>39018549</v>
          </cell>
          <cell r="B145">
            <v>995.9</v>
          </cell>
        </row>
        <row r="146">
          <cell r="A146">
            <v>39018628</v>
          </cell>
          <cell r="B146">
            <v>1061.5999999999999</v>
          </cell>
        </row>
        <row r="147">
          <cell r="A147">
            <v>39018629</v>
          </cell>
          <cell r="B147">
            <v>1061.5999999999999</v>
          </cell>
        </row>
        <row r="148">
          <cell r="A148">
            <v>39018538</v>
          </cell>
          <cell r="B148">
            <v>587</v>
          </cell>
        </row>
        <row r="149">
          <cell r="A149">
            <v>39018539</v>
          </cell>
          <cell r="B149">
            <v>657.51</v>
          </cell>
        </row>
        <row r="150">
          <cell r="A150">
            <v>39018540</v>
          </cell>
          <cell r="B150">
            <v>853.56</v>
          </cell>
        </row>
        <row r="151">
          <cell r="A151">
            <v>39018541</v>
          </cell>
          <cell r="B151">
            <v>963.56</v>
          </cell>
        </row>
        <row r="152">
          <cell r="A152">
            <v>39018546</v>
          </cell>
          <cell r="B152">
            <v>995.86</v>
          </cell>
        </row>
        <row r="153">
          <cell r="A153">
            <v>39018547</v>
          </cell>
          <cell r="B153">
            <v>1061.5999999999999</v>
          </cell>
        </row>
        <row r="154">
          <cell r="A154">
            <v>39018548</v>
          </cell>
          <cell r="B154">
            <v>1147.6600000000001</v>
          </cell>
        </row>
        <row r="155">
          <cell r="A155">
            <v>39020141</v>
          </cell>
          <cell r="B155">
            <v>893.04</v>
          </cell>
        </row>
        <row r="156">
          <cell r="A156">
            <v>39020142</v>
          </cell>
          <cell r="B156">
            <v>964.76</v>
          </cell>
        </row>
        <row r="157">
          <cell r="A157">
            <v>39020143</v>
          </cell>
          <cell r="B157">
            <v>1159.6300000000001</v>
          </cell>
        </row>
        <row r="158">
          <cell r="A158">
            <v>39020144</v>
          </cell>
          <cell r="B158">
            <v>1159.6300000000001</v>
          </cell>
        </row>
        <row r="159">
          <cell r="A159">
            <v>39020153</v>
          </cell>
          <cell r="B159">
            <v>1301.9000000000001</v>
          </cell>
        </row>
        <row r="160">
          <cell r="A160">
            <v>39020154</v>
          </cell>
          <cell r="B160">
            <v>1367.64</v>
          </cell>
        </row>
        <row r="161">
          <cell r="A161">
            <v>39020155</v>
          </cell>
          <cell r="B161">
            <v>1367.64</v>
          </cell>
        </row>
        <row r="162">
          <cell r="A162">
            <v>39020317</v>
          </cell>
          <cell r="B162">
            <v>1826.71</v>
          </cell>
        </row>
        <row r="163">
          <cell r="A163">
            <v>39020149</v>
          </cell>
          <cell r="B163">
            <v>893.04</v>
          </cell>
        </row>
        <row r="164">
          <cell r="A164">
            <v>39020150</v>
          </cell>
          <cell r="B164">
            <v>964.76</v>
          </cell>
        </row>
        <row r="165">
          <cell r="A165">
            <v>39020151</v>
          </cell>
          <cell r="B165">
            <v>1159.6300000000001</v>
          </cell>
        </row>
        <row r="166">
          <cell r="A166">
            <v>39020152</v>
          </cell>
          <cell r="B166">
            <v>1269.6199999999999</v>
          </cell>
        </row>
        <row r="167">
          <cell r="A167">
            <v>39020159</v>
          </cell>
          <cell r="B167">
            <v>1301.9000000000001</v>
          </cell>
        </row>
        <row r="168">
          <cell r="A168">
            <v>39020160</v>
          </cell>
          <cell r="B168">
            <v>1367.64</v>
          </cell>
        </row>
        <row r="169">
          <cell r="A169">
            <v>39020161</v>
          </cell>
          <cell r="B169">
            <v>1454.91</v>
          </cell>
        </row>
        <row r="170">
          <cell r="A170">
            <v>39020320</v>
          </cell>
          <cell r="B170">
            <v>1678.47</v>
          </cell>
        </row>
        <row r="171">
          <cell r="A171">
            <v>39019940</v>
          </cell>
          <cell r="B171">
            <v>112.37</v>
          </cell>
        </row>
        <row r="172">
          <cell r="A172">
            <v>39020214</v>
          </cell>
          <cell r="B172">
            <v>288.11</v>
          </cell>
        </row>
        <row r="173">
          <cell r="A173">
            <v>39019941</v>
          </cell>
          <cell r="B173">
            <v>288.11</v>
          </cell>
        </row>
        <row r="174">
          <cell r="A174">
            <v>39020692</v>
          </cell>
          <cell r="B174">
            <v>449.51</v>
          </cell>
        </row>
        <row r="175">
          <cell r="A175">
            <v>39020693</v>
          </cell>
          <cell r="B175">
            <v>449.51</v>
          </cell>
        </row>
        <row r="176">
          <cell r="A176">
            <v>29101099</v>
          </cell>
          <cell r="B176">
            <v>1454.91</v>
          </cell>
        </row>
        <row r="177">
          <cell r="A177">
            <v>29101100</v>
          </cell>
          <cell r="B177">
            <v>1454.91</v>
          </cell>
        </row>
        <row r="178">
          <cell r="A178">
            <v>529119</v>
          </cell>
          <cell r="B178">
            <v>1910.39</v>
          </cell>
        </row>
        <row r="179">
          <cell r="A179">
            <v>529129</v>
          </cell>
          <cell r="B179">
            <v>1910.39</v>
          </cell>
        </row>
        <row r="180">
          <cell r="A180">
            <v>529118</v>
          </cell>
          <cell r="B180">
            <v>2371.85</v>
          </cell>
        </row>
        <row r="181">
          <cell r="A181">
            <v>529128</v>
          </cell>
          <cell r="B181">
            <v>2371.85</v>
          </cell>
        </row>
        <row r="182">
          <cell r="A182">
            <v>529124</v>
          </cell>
          <cell r="B182">
            <v>2129.1799999999998</v>
          </cell>
        </row>
        <row r="183">
          <cell r="A183">
            <v>529123</v>
          </cell>
          <cell r="B183">
            <v>2604.98</v>
          </cell>
        </row>
        <row r="184">
          <cell r="A184">
            <v>39020769</v>
          </cell>
          <cell r="B184">
            <v>269</v>
          </cell>
        </row>
        <row r="185">
          <cell r="A185">
            <v>39020770</v>
          </cell>
          <cell r="B185">
            <v>292.91000000000003</v>
          </cell>
        </row>
        <row r="186">
          <cell r="A186">
            <v>39020771</v>
          </cell>
          <cell r="B186">
            <v>316.81</v>
          </cell>
        </row>
        <row r="187">
          <cell r="A187">
            <v>39020751</v>
          </cell>
          <cell r="B187">
            <v>365.82</v>
          </cell>
        </row>
        <row r="188">
          <cell r="A188">
            <v>19552258</v>
          </cell>
          <cell r="B188">
            <v>817.71</v>
          </cell>
        </row>
        <row r="189">
          <cell r="A189">
            <v>19552257</v>
          </cell>
          <cell r="B189">
            <v>655.13</v>
          </cell>
        </row>
        <row r="190">
          <cell r="A190">
            <v>19141819</v>
          </cell>
          <cell r="B190">
            <v>25.11</v>
          </cell>
        </row>
        <row r="191">
          <cell r="A191">
            <v>19141820</v>
          </cell>
          <cell r="B191">
            <v>55.01</v>
          </cell>
        </row>
        <row r="192">
          <cell r="A192">
            <v>39021975</v>
          </cell>
          <cell r="B192">
            <v>59.77</v>
          </cell>
        </row>
        <row r="193">
          <cell r="A193">
            <v>19551111</v>
          </cell>
          <cell r="B193">
            <v>21.53</v>
          </cell>
        </row>
        <row r="194">
          <cell r="A194">
            <v>1009771</v>
          </cell>
          <cell r="B194">
            <v>37.06</v>
          </cell>
        </row>
        <row r="195">
          <cell r="A195">
            <v>1009772</v>
          </cell>
          <cell r="B195">
            <v>43.04</v>
          </cell>
        </row>
        <row r="196">
          <cell r="A196">
            <v>1009773</v>
          </cell>
          <cell r="B196">
            <v>44.23</v>
          </cell>
        </row>
        <row r="197">
          <cell r="A197">
            <v>1084936</v>
          </cell>
          <cell r="B197">
            <v>227.15</v>
          </cell>
        </row>
        <row r="198">
          <cell r="A198">
            <v>1084935</v>
          </cell>
          <cell r="B198">
            <v>245.09</v>
          </cell>
        </row>
        <row r="199">
          <cell r="A199">
            <v>1084937</v>
          </cell>
          <cell r="B199">
            <v>264.2</v>
          </cell>
        </row>
        <row r="200">
          <cell r="A200">
            <v>48829253</v>
          </cell>
          <cell r="B200">
            <v>335.94</v>
          </cell>
        </row>
        <row r="201">
          <cell r="A201">
            <v>48829254</v>
          </cell>
          <cell r="B201">
            <v>361.04</v>
          </cell>
        </row>
        <row r="202">
          <cell r="A202">
            <v>48829255</v>
          </cell>
          <cell r="B202">
            <v>426.79</v>
          </cell>
        </row>
        <row r="203">
          <cell r="A203">
            <v>1056711</v>
          </cell>
          <cell r="B203">
            <v>227.15</v>
          </cell>
        </row>
        <row r="204">
          <cell r="A204">
            <v>1056712</v>
          </cell>
          <cell r="B204">
            <v>248.65</v>
          </cell>
        </row>
        <row r="205">
          <cell r="A205">
            <v>1056713</v>
          </cell>
          <cell r="B205">
            <v>314.41000000000003</v>
          </cell>
        </row>
        <row r="206">
          <cell r="A206">
            <v>1014219</v>
          </cell>
          <cell r="B206">
            <v>17.93</v>
          </cell>
        </row>
        <row r="207">
          <cell r="A207">
            <v>411502</v>
          </cell>
          <cell r="B207">
            <v>26.29</v>
          </cell>
        </row>
        <row r="208">
          <cell r="A208">
            <v>411503</v>
          </cell>
          <cell r="B208">
            <v>34.659999999999997</v>
          </cell>
        </row>
        <row r="209">
          <cell r="A209">
            <v>48829249</v>
          </cell>
          <cell r="B209">
            <v>212.81</v>
          </cell>
        </row>
        <row r="210">
          <cell r="A210">
            <v>48829250</v>
          </cell>
          <cell r="B210">
            <v>239.1</v>
          </cell>
        </row>
        <row r="211">
          <cell r="A211">
            <v>48829251</v>
          </cell>
          <cell r="B211">
            <v>297.68</v>
          </cell>
        </row>
        <row r="212">
          <cell r="A212">
            <v>1056707</v>
          </cell>
          <cell r="B212">
            <v>121.93</v>
          </cell>
        </row>
        <row r="213">
          <cell r="A213">
            <v>1056708</v>
          </cell>
          <cell r="B213">
            <v>151.83000000000001</v>
          </cell>
        </row>
        <row r="214">
          <cell r="A214">
            <v>1056709</v>
          </cell>
          <cell r="B214">
            <v>162.6</v>
          </cell>
        </row>
        <row r="215">
          <cell r="A215">
            <v>18072643</v>
          </cell>
          <cell r="B215">
            <v>14.33</v>
          </cell>
        </row>
        <row r="216">
          <cell r="A216">
            <v>18072644</v>
          </cell>
          <cell r="B216">
            <v>19.13</v>
          </cell>
        </row>
        <row r="217">
          <cell r="A217">
            <v>18060163</v>
          </cell>
          <cell r="B217">
            <v>19.13</v>
          </cell>
        </row>
        <row r="218">
          <cell r="A218">
            <v>18040311</v>
          </cell>
          <cell r="B218">
            <v>84.87</v>
          </cell>
        </row>
        <row r="219">
          <cell r="A219">
            <v>40000688</v>
          </cell>
          <cell r="B219">
            <v>247.47</v>
          </cell>
        </row>
        <row r="220">
          <cell r="A220">
            <v>40000689</v>
          </cell>
          <cell r="B220">
            <v>289.31</v>
          </cell>
        </row>
        <row r="221">
          <cell r="A221">
            <v>40000690</v>
          </cell>
          <cell r="B221">
            <v>347.89</v>
          </cell>
        </row>
        <row r="222">
          <cell r="A222">
            <v>48936065</v>
          </cell>
          <cell r="B222">
            <v>389.74</v>
          </cell>
        </row>
        <row r="223">
          <cell r="A223">
            <v>40000692</v>
          </cell>
          <cell r="B223">
            <v>469.83</v>
          </cell>
        </row>
        <row r="224">
          <cell r="A224">
            <v>18075627</v>
          </cell>
          <cell r="B224">
            <v>174.54</v>
          </cell>
        </row>
        <row r="225">
          <cell r="A225">
            <v>18079719</v>
          </cell>
          <cell r="B225">
            <v>60.97</v>
          </cell>
        </row>
        <row r="226">
          <cell r="A226">
            <v>42209411</v>
          </cell>
          <cell r="B226">
            <v>43.04</v>
          </cell>
        </row>
        <row r="227">
          <cell r="A227">
            <v>19072025</v>
          </cell>
          <cell r="B227">
            <v>66.95</v>
          </cell>
        </row>
        <row r="228">
          <cell r="A228">
            <v>18040259</v>
          </cell>
          <cell r="B228">
            <v>69.36</v>
          </cell>
        </row>
        <row r="229">
          <cell r="A229">
            <v>18040205</v>
          </cell>
          <cell r="B229">
            <v>88.46</v>
          </cell>
        </row>
        <row r="230">
          <cell r="A230">
            <v>11150456</v>
          </cell>
          <cell r="B230">
            <v>119.55</v>
          </cell>
        </row>
        <row r="231">
          <cell r="A231">
            <v>11150457</v>
          </cell>
          <cell r="B231">
            <v>151.83000000000001</v>
          </cell>
        </row>
        <row r="232">
          <cell r="A232">
            <v>11150458</v>
          </cell>
          <cell r="B232">
            <v>156.62</v>
          </cell>
        </row>
        <row r="233">
          <cell r="A233">
            <v>11150459</v>
          </cell>
          <cell r="B233">
            <v>187.7</v>
          </cell>
        </row>
        <row r="234">
          <cell r="A234">
            <v>11150869</v>
          </cell>
          <cell r="B234">
            <v>197.27</v>
          </cell>
        </row>
        <row r="235">
          <cell r="A235">
            <v>1002463</v>
          </cell>
          <cell r="B235">
            <v>25.11</v>
          </cell>
        </row>
        <row r="236">
          <cell r="A236">
            <v>520120</v>
          </cell>
          <cell r="B236">
            <v>25.11</v>
          </cell>
        </row>
        <row r="237">
          <cell r="A237">
            <v>1062591</v>
          </cell>
          <cell r="B237">
            <v>66.95</v>
          </cell>
        </row>
        <row r="238">
          <cell r="A238">
            <v>133084</v>
          </cell>
          <cell r="B238">
            <v>52.59</v>
          </cell>
        </row>
        <row r="239">
          <cell r="A239">
            <v>524370</v>
          </cell>
          <cell r="B239">
            <v>31.09</v>
          </cell>
        </row>
        <row r="240">
          <cell r="A240">
            <v>524371</v>
          </cell>
          <cell r="B240">
            <v>43.04</v>
          </cell>
        </row>
        <row r="241">
          <cell r="A241">
            <v>522546</v>
          </cell>
          <cell r="B241">
            <v>76.510000000000005</v>
          </cell>
        </row>
        <row r="242">
          <cell r="A242">
            <v>18040148</v>
          </cell>
          <cell r="B242">
            <v>105.22</v>
          </cell>
        </row>
        <row r="243">
          <cell r="A243">
            <v>18072642</v>
          </cell>
          <cell r="B243">
            <v>129.12</v>
          </cell>
        </row>
        <row r="244">
          <cell r="A244">
            <v>18060162</v>
          </cell>
          <cell r="B244">
            <v>182.92</v>
          </cell>
        </row>
        <row r="245">
          <cell r="A245">
            <v>524551</v>
          </cell>
          <cell r="B245">
            <v>27.5</v>
          </cell>
        </row>
        <row r="246">
          <cell r="A246">
            <v>520454</v>
          </cell>
          <cell r="B246">
            <v>41.85</v>
          </cell>
        </row>
        <row r="247">
          <cell r="A247">
            <v>522313</v>
          </cell>
          <cell r="B247">
            <v>84.87</v>
          </cell>
        </row>
        <row r="248">
          <cell r="A248">
            <v>114522</v>
          </cell>
          <cell r="B248">
            <v>3.59</v>
          </cell>
        </row>
        <row r="249">
          <cell r="A249">
            <v>1063363</v>
          </cell>
          <cell r="B249">
            <v>3.59</v>
          </cell>
        </row>
        <row r="250">
          <cell r="A250">
            <v>520853</v>
          </cell>
          <cell r="B250">
            <v>4.7699999999999996</v>
          </cell>
        </row>
        <row r="251">
          <cell r="A251">
            <v>1062592</v>
          </cell>
          <cell r="B251">
            <v>99.24</v>
          </cell>
        </row>
        <row r="252">
          <cell r="A252">
            <v>1062593</v>
          </cell>
          <cell r="B252">
            <v>151.83000000000001</v>
          </cell>
        </row>
        <row r="253">
          <cell r="A253">
            <v>1062594</v>
          </cell>
          <cell r="B253">
            <v>269</v>
          </cell>
        </row>
        <row r="254">
          <cell r="A254">
            <v>522262</v>
          </cell>
          <cell r="B254">
            <v>121.93</v>
          </cell>
        </row>
        <row r="255">
          <cell r="A255">
            <v>522263</v>
          </cell>
          <cell r="B255">
            <v>202.03</v>
          </cell>
        </row>
        <row r="256">
          <cell r="A256">
            <v>522264</v>
          </cell>
          <cell r="B256">
            <v>335.94</v>
          </cell>
        </row>
        <row r="257">
          <cell r="A257">
            <v>522265</v>
          </cell>
          <cell r="B257">
            <v>364.64</v>
          </cell>
        </row>
        <row r="258">
          <cell r="A258">
            <v>540104</v>
          </cell>
          <cell r="B258">
            <v>19.13</v>
          </cell>
        </row>
        <row r="259">
          <cell r="A259">
            <v>523966</v>
          </cell>
          <cell r="B259">
            <v>39.46</v>
          </cell>
        </row>
        <row r="260">
          <cell r="A260">
            <v>260478</v>
          </cell>
          <cell r="B260">
            <v>19.13</v>
          </cell>
        </row>
        <row r="261">
          <cell r="A261">
            <v>260479</v>
          </cell>
          <cell r="B261">
            <v>23.91</v>
          </cell>
        </row>
        <row r="262">
          <cell r="A262">
            <v>19551353</v>
          </cell>
          <cell r="B262">
            <v>86.08</v>
          </cell>
        </row>
        <row r="263">
          <cell r="A263">
            <v>106756</v>
          </cell>
          <cell r="B263">
            <v>22.71</v>
          </cell>
        </row>
        <row r="264">
          <cell r="A264">
            <v>240679</v>
          </cell>
          <cell r="B264">
            <v>7.18</v>
          </cell>
        </row>
        <row r="265">
          <cell r="A265">
            <v>240680</v>
          </cell>
          <cell r="B265">
            <v>5.98</v>
          </cell>
        </row>
        <row r="266">
          <cell r="A266">
            <v>240874</v>
          </cell>
          <cell r="B266">
            <v>4.7699999999999996</v>
          </cell>
        </row>
        <row r="267">
          <cell r="A267">
            <v>240876</v>
          </cell>
          <cell r="B267">
            <v>7.18</v>
          </cell>
        </row>
        <row r="268">
          <cell r="A268">
            <v>11035587</v>
          </cell>
          <cell r="B268">
            <v>25.11</v>
          </cell>
        </row>
        <row r="269">
          <cell r="A269">
            <v>11037771</v>
          </cell>
          <cell r="B269">
            <v>21.53</v>
          </cell>
        </row>
        <row r="270">
          <cell r="A270">
            <v>250494</v>
          </cell>
          <cell r="B270">
            <v>7.18</v>
          </cell>
        </row>
        <row r="271">
          <cell r="A271">
            <v>240679</v>
          </cell>
          <cell r="B271">
            <v>7.18</v>
          </cell>
        </row>
        <row r="272">
          <cell r="A272">
            <v>240680</v>
          </cell>
          <cell r="B272">
            <v>5.98</v>
          </cell>
        </row>
        <row r="273">
          <cell r="A273">
            <v>240686</v>
          </cell>
          <cell r="B273">
            <v>4.7699999999999996</v>
          </cell>
        </row>
        <row r="274">
          <cell r="A274">
            <v>241778</v>
          </cell>
          <cell r="B274">
            <v>14.33</v>
          </cell>
        </row>
        <row r="275">
          <cell r="A275">
            <v>40982361</v>
          </cell>
          <cell r="B275">
            <v>34.770000000000003</v>
          </cell>
        </row>
        <row r="276">
          <cell r="A276">
            <v>18040775</v>
          </cell>
          <cell r="B276">
            <v>65.75</v>
          </cell>
        </row>
        <row r="277">
          <cell r="A277">
            <v>29128401</v>
          </cell>
          <cell r="B277">
            <v>69.08</v>
          </cell>
        </row>
        <row r="278">
          <cell r="A278">
            <v>29128442</v>
          </cell>
          <cell r="B278">
            <v>350.29</v>
          </cell>
        </row>
        <row r="279">
          <cell r="A279">
            <v>530561</v>
          </cell>
          <cell r="B279">
            <v>542.74</v>
          </cell>
        </row>
        <row r="280">
          <cell r="A280">
            <v>1086547</v>
          </cell>
          <cell r="B280">
            <v>57.39</v>
          </cell>
        </row>
        <row r="281">
          <cell r="A281">
            <v>19070135</v>
          </cell>
          <cell r="B281">
            <v>129.12</v>
          </cell>
        </row>
        <row r="282">
          <cell r="A282">
            <v>19070137</v>
          </cell>
          <cell r="B282">
            <v>129.12</v>
          </cell>
        </row>
        <row r="283">
          <cell r="A283">
            <v>19070138</v>
          </cell>
          <cell r="B283">
            <v>129.12</v>
          </cell>
        </row>
        <row r="284">
          <cell r="A284">
            <v>19070139</v>
          </cell>
          <cell r="B284">
            <v>129.12</v>
          </cell>
        </row>
        <row r="285">
          <cell r="A285">
            <v>19070140</v>
          </cell>
          <cell r="B285">
            <v>129.12</v>
          </cell>
        </row>
        <row r="286">
          <cell r="A286">
            <v>19070114</v>
          </cell>
          <cell r="B286">
            <v>152.04</v>
          </cell>
        </row>
        <row r="287">
          <cell r="A287">
            <v>19070115</v>
          </cell>
          <cell r="B287">
            <v>152.04</v>
          </cell>
        </row>
        <row r="288">
          <cell r="A288">
            <v>19070116</v>
          </cell>
          <cell r="B288">
            <v>152.04</v>
          </cell>
        </row>
        <row r="289">
          <cell r="A289">
            <v>19070117</v>
          </cell>
          <cell r="B289">
            <v>152.04</v>
          </cell>
        </row>
        <row r="290">
          <cell r="A290">
            <v>19070119</v>
          </cell>
          <cell r="B290">
            <v>151.83000000000001</v>
          </cell>
        </row>
        <row r="291">
          <cell r="A291">
            <v>29128422</v>
          </cell>
          <cell r="B291">
            <v>198.45</v>
          </cell>
        </row>
        <row r="292">
          <cell r="A292">
            <v>19072366</v>
          </cell>
          <cell r="B292">
            <v>47.82</v>
          </cell>
        </row>
        <row r="293">
          <cell r="A293">
            <v>533740</v>
          </cell>
          <cell r="B293">
            <v>199.63</v>
          </cell>
        </row>
        <row r="294">
          <cell r="A294">
            <v>19070091</v>
          </cell>
          <cell r="B294">
            <v>568.73</v>
          </cell>
        </row>
        <row r="295">
          <cell r="A295">
            <v>19070092</v>
          </cell>
          <cell r="B295">
            <v>568.73</v>
          </cell>
        </row>
        <row r="296">
          <cell r="A296">
            <v>19070093</v>
          </cell>
          <cell r="B296">
            <v>568.73</v>
          </cell>
        </row>
        <row r="297">
          <cell r="A297">
            <v>19070094</v>
          </cell>
          <cell r="B297">
            <v>567.86</v>
          </cell>
        </row>
        <row r="298">
          <cell r="A298">
            <v>19070152</v>
          </cell>
          <cell r="B298">
            <v>1301.9000000000001</v>
          </cell>
        </row>
        <row r="299">
          <cell r="A299">
            <v>19070187</v>
          </cell>
          <cell r="B299">
            <v>487.76</v>
          </cell>
        </row>
        <row r="300">
          <cell r="A300">
            <v>19071264</v>
          </cell>
          <cell r="B300">
            <v>487.76</v>
          </cell>
        </row>
        <row r="301">
          <cell r="A301">
            <v>1135045</v>
          </cell>
          <cell r="B301">
            <v>912.71</v>
          </cell>
        </row>
        <row r="302">
          <cell r="A302">
            <v>1135046</v>
          </cell>
          <cell r="B302">
            <v>1027.76</v>
          </cell>
        </row>
        <row r="303">
          <cell r="A303">
            <v>1111397</v>
          </cell>
          <cell r="B303">
            <v>912.71</v>
          </cell>
        </row>
        <row r="304">
          <cell r="A304">
            <v>1118650</v>
          </cell>
          <cell r="B304">
            <v>1027.76</v>
          </cell>
        </row>
        <row r="305">
          <cell r="A305">
            <v>1111455</v>
          </cell>
          <cell r="B305">
            <v>1452.32</v>
          </cell>
        </row>
        <row r="306">
          <cell r="A306">
            <v>19070151</v>
          </cell>
          <cell r="B306">
            <v>833.27</v>
          </cell>
        </row>
        <row r="307">
          <cell r="A307">
            <v>19071265</v>
          </cell>
          <cell r="B307">
            <v>833.27</v>
          </cell>
        </row>
        <row r="308">
          <cell r="A308">
            <v>19070147</v>
          </cell>
          <cell r="B308">
            <v>1062.01</v>
          </cell>
        </row>
        <row r="309">
          <cell r="A309">
            <v>19070148</v>
          </cell>
          <cell r="B309">
            <v>1062.01</v>
          </cell>
        </row>
        <row r="310">
          <cell r="A310">
            <v>19070149</v>
          </cell>
          <cell r="B310">
            <v>1062.01</v>
          </cell>
        </row>
        <row r="311">
          <cell r="A311">
            <v>19070150</v>
          </cell>
          <cell r="B311">
            <v>1061.5999999999999</v>
          </cell>
        </row>
        <row r="312">
          <cell r="A312">
            <v>19070153</v>
          </cell>
          <cell r="B312">
            <v>2902.67</v>
          </cell>
        </row>
        <row r="313">
          <cell r="A313">
            <v>1135077</v>
          </cell>
          <cell r="B313">
            <v>1251.73</v>
          </cell>
        </row>
        <row r="314">
          <cell r="A314">
            <v>1135078</v>
          </cell>
          <cell r="B314">
            <v>1366.77</v>
          </cell>
        </row>
        <row r="315">
          <cell r="A315">
            <v>1111401</v>
          </cell>
          <cell r="B315">
            <v>1251.73</v>
          </cell>
        </row>
        <row r="316">
          <cell r="A316">
            <v>1118652</v>
          </cell>
          <cell r="B316">
            <v>1366.77</v>
          </cell>
        </row>
        <row r="317">
          <cell r="A317">
            <v>1111472</v>
          </cell>
          <cell r="B317">
            <v>1912.37</v>
          </cell>
        </row>
        <row r="318">
          <cell r="A318">
            <v>11037742</v>
          </cell>
          <cell r="B318">
            <v>41.85</v>
          </cell>
        </row>
        <row r="319">
          <cell r="A319">
            <v>11037743</v>
          </cell>
          <cell r="B319">
            <v>47.58</v>
          </cell>
        </row>
        <row r="320">
          <cell r="A320">
            <v>11037744</v>
          </cell>
          <cell r="B320">
            <v>60.35</v>
          </cell>
        </row>
        <row r="321">
          <cell r="A321">
            <v>11037745</v>
          </cell>
          <cell r="B321">
            <v>75.319999999999993</v>
          </cell>
        </row>
        <row r="322">
          <cell r="A322">
            <v>11037746</v>
          </cell>
          <cell r="B322">
            <v>88.21</v>
          </cell>
        </row>
        <row r="323">
          <cell r="A323">
            <v>11037747</v>
          </cell>
          <cell r="B323">
            <v>105.22</v>
          </cell>
        </row>
        <row r="324">
          <cell r="A324">
            <v>11037748</v>
          </cell>
          <cell r="B324">
            <v>121.93</v>
          </cell>
        </row>
        <row r="325">
          <cell r="A325">
            <v>11037753</v>
          </cell>
          <cell r="B325">
            <v>82.48</v>
          </cell>
        </row>
        <row r="326">
          <cell r="A326">
            <v>11037754</v>
          </cell>
          <cell r="B326">
            <v>117.16</v>
          </cell>
        </row>
        <row r="327">
          <cell r="A327">
            <v>11037755</v>
          </cell>
          <cell r="B327">
            <v>191.29</v>
          </cell>
        </row>
        <row r="328">
          <cell r="A328">
            <v>11037756</v>
          </cell>
          <cell r="B328">
            <v>51.41</v>
          </cell>
        </row>
        <row r="329">
          <cell r="A329">
            <v>11037757</v>
          </cell>
          <cell r="B329">
            <v>68.13</v>
          </cell>
        </row>
        <row r="330">
          <cell r="A330">
            <v>11037758</v>
          </cell>
          <cell r="B330">
            <v>105.22</v>
          </cell>
        </row>
        <row r="331">
          <cell r="A331">
            <v>11037749</v>
          </cell>
          <cell r="B331">
            <v>63.37</v>
          </cell>
        </row>
        <row r="332">
          <cell r="A332">
            <v>11037750</v>
          </cell>
          <cell r="B332">
            <v>66.95</v>
          </cell>
        </row>
        <row r="333">
          <cell r="A333">
            <v>11037751</v>
          </cell>
          <cell r="B333">
            <v>81.3</v>
          </cell>
        </row>
        <row r="334">
          <cell r="A334">
            <v>11037752</v>
          </cell>
          <cell r="B334">
            <v>108.8</v>
          </cell>
        </row>
        <row r="335">
          <cell r="A335">
            <v>11037759</v>
          </cell>
          <cell r="B335">
            <v>62.17</v>
          </cell>
        </row>
        <row r="336">
          <cell r="A336">
            <v>11037760</v>
          </cell>
          <cell r="B336">
            <v>66.95</v>
          </cell>
        </row>
        <row r="337">
          <cell r="A337">
            <v>11037761</v>
          </cell>
          <cell r="B337">
            <v>81.3</v>
          </cell>
        </row>
        <row r="338">
          <cell r="A338">
            <v>11037762</v>
          </cell>
          <cell r="B338">
            <v>108.8</v>
          </cell>
        </row>
        <row r="339">
          <cell r="A339">
            <v>19071721</v>
          </cell>
          <cell r="B339">
            <v>87.28</v>
          </cell>
        </row>
        <row r="340">
          <cell r="A340">
            <v>19071837</v>
          </cell>
          <cell r="B340">
            <v>123.14</v>
          </cell>
        </row>
        <row r="341">
          <cell r="A341">
            <v>19071722</v>
          </cell>
          <cell r="B341">
            <v>276.17</v>
          </cell>
        </row>
        <row r="342">
          <cell r="A342">
            <v>534217</v>
          </cell>
          <cell r="B342">
            <v>159.01</v>
          </cell>
        </row>
        <row r="343">
          <cell r="A343">
            <v>18040512</v>
          </cell>
          <cell r="B343">
            <v>138.68</v>
          </cell>
        </row>
        <row r="344">
          <cell r="A344">
            <v>19071490</v>
          </cell>
          <cell r="B344">
            <v>154.19999999999999</v>
          </cell>
        </row>
        <row r="345">
          <cell r="A345">
            <v>19071491</v>
          </cell>
          <cell r="B345">
            <v>154.19999999999999</v>
          </cell>
        </row>
        <row r="346">
          <cell r="A346">
            <v>19071492</v>
          </cell>
          <cell r="B346">
            <v>154.19999999999999</v>
          </cell>
        </row>
        <row r="347">
          <cell r="A347">
            <v>19071493</v>
          </cell>
          <cell r="B347">
            <v>154.19999999999999</v>
          </cell>
        </row>
        <row r="348">
          <cell r="A348">
            <v>1118748</v>
          </cell>
          <cell r="B348">
            <v>44.13</v>
          </cell>
        </row>
        <row r="349">
          <cell r="A349">
            <v>1118747</v>
          </cell>
          <cell r="B349">
            <v>320.69</v>
          </cell>
        </row>
        <row r="350">
          <cell r="A350">
            <v>1118746</v>
          </cell>
          <cell r="B350">
            <v>210.79</v>
          </cell>
        </row>
        <row r="351">
          <cell r="A351">
            <v>1111935</v>
          </cell>
          <cell r="B351">
            <v>76.37</v>
          </cell>
        </row>
        <row r="352">
          <cell r="A352">
            <v>19070614</v>
          </cell>
          <cell r="B352">
            <v>137.21</v>
          </cell>
        </row>
        <row r="353">
          <cell r="A353">
            <v>1056355</v>
          </cell>
          <cell r="B353">
            <v>148.22999999999999</v>
          </cell>
        </row>
        <row r="354">
          <cell r="A354">
            <v>1086547</v>
          </cell>
          <cell r="B354">
            <v>57.39</v>
          </cell>
        </row>
        <row r="355">
          <cell r="A355">
            <v>1073476</v>
          </cell>
          <cell r="B355">
            <v>253.44</v>
          </cell>
        </row>
        <row r="356">
          <cell r="A356">
            <v>47121210</v>
          </cell>
          <cell r="B356">
            <v>199.98</v>
          </cell>
        </row>
        <row r="357">
          <cell r="A357">
            <v>1009771</v>
          </cell>
          <cell r="B357">
            <v>37.06</v>
          </cell>
        </row>
        <row r="358">
          <cell r="A358">
            <v>1009773</v>
          </cell>
          <cell r="B358">
            <v>44.23</v>
          </cell>
        </row>
        <row r="359">
          <cell r="A359">
            <v>430260</v>
          </cell>
          <cell r="B359">
            <v>112.37</v>
          </cell>
        </row>
        <row r="360">
          <cell r="A360">
            <v>411503</v>
          </cell>
          <cell r="B360">
            <v>34.659999999999997</v>
          </cell>
        </row>
        <row r="361">
          <cell r="A361">
            <v>18075627</v>
          </cell>
          <cell r="B361">
            <v>174.54</v>
          </cell>
        </row>
        <row r="362">
          <cell r="A362">
            <v>11178906</v>
          </cell>
          <cell r="B362">
            <v>393</v>
          </cell>
        </row>
        <row r="363">
          <cell r="A363">
            <v>11178907</v>
          </cell>
          <cell r="B363">
            <v>476.17</v>
          </cell>
        </row>
        <row r="364">
          <cell r="A364">
            <v>11178908</v>
          </cell>
          <cell r="B364">
            <v>1052.43</v>
          </cell>
        </row>
        <row r="365">
          <cell r="A365">
            <v>11178909</v>
          </cell>
          <cell r="B365">
            <v>1125.97</v>
          </cell>
        </row>
        <row r="366">
          <cell r="A366">
            <v>11178910</v>
          </cell>
          <cell r="B366">
            <v>448.45</v>
          </cell>
        </row>
        <row r="367">
          <cell r="A367">
            <v>11178911</v>
          </cell>
          <cell r="B367">
            <v>532.83000000000004</v>
          </cell>
        </row>
        <row r="368">
          <cell r="A368">
            <v>11178912</v>
          </cell>
          <cell r="B368">
            <v>1109.0899999999999</v>
          </cell>
        </row>
        <row r="369">
          <cell r="A369">
            <v>11178913</v>
          </cell>
          <cell r="B369">
            <v>1181.4000000000001</v>
          </cell>
        </row>
        <row r="370">
          <cell r="A370">
            <v>11037743</v>
          </cell>
          <cell r="B370">
            <v>47.58</v>
          </cell>
        </row>
        <row r="371">
          <cell r="A371">
            <v>11037744</v>
          </cell>
          <cell r="B371">
            <v>60.35</v>
          </cell>
        </row>
        <row r="372">
          <cell r="A372">
            <v>11037746</v>
          </cell>
          <cell r="B372">
            <v>88.21</v>
          </cell>
        </row>
        <row r="373">
          <cell r="A373">
            <v>19520160</v>
          </cell>
          <cell r="B373">
            <v>406.26</v>
          </cell>
        </row>
        <row r="374">
          <cell r="A374">
            <v>19520180</v>
          </cell>
          <cell r="B374">
            <v>434</v>
          </cell>
        </row>
        <row r="375">
          <cell r="A375">
            <v>19520152</v>
          </cell>
          <cell r="B375">
            <v>1139.22</v>
          </cell>
        </row>
        <row r="376">
          <cell r="A376">
            <v>19520172</v>
          </cell>
          <cell r="B376">
            <v>1182.6300000000001</v>
          </cell>
        </row>
        <row r="377">
          <cell r="A377">
            <v>19520162</v>
          </cell>
          <cell r="B377">
            <v>520.79</v>
          </cell>
        </row>
        <row r="378">
          <cell r="A378">
            <v>19520182</v>
          </cell>
          <cell r="B378">
            <v>548.52</v>
          </cell>
        </row>
        <row r="379">
          <cell r="A379">
            <v>19520152</v>
          </cell>
          <cell r="B379">
            <v>1139.22</v>
          </cell>
        </row>
        <row r="380">
          <cell r="A380">
            <v>19520172</v>
          </cell>
          <cell r="B380">
            <v>1182.6300000000001</v>
          </cell>
        </row>
        <row r="381">
          <cell r="A381">
            <v>19520195</v>
          </cell>
          <cell r="B381">
            <v>284.5</v>
          </cell>
        </row>
        <row r="382">
          <cell r="A382">
            <v>19520196</v>
          </cell>
          <cell r="B382">
            <v>356.85</v>
          </cell>
        </row>
        <row r="383">
          <cell r="A383">
            <v>19520190</v>
          </cell>
          <cell r="B383">
            <v>978.88</v>
          </cell>
        </row>
        <row r="384">
          <cell r="A384">
            <v>19520191</v>
          </cell>
          <cell r="B384">
            <v>1051.23</v>
          </cell>
        </row>
        <row r="385">
          <cell r="A385">
            <v>19070114</v>
          </cell>
          <cell r="B385">
            <v>152.04</v>
          </cell>
        </row>
        <row r="386">
          <cell r="A386">
            <v>19070115</v>
          </cell>
          <cell r="B386">
            <v>152.04</v>
          </cell>
        </row>
        <row r="387">
          <cell r="A387">
            <v>19070116</v>
          </cell>
          <cell r="B387">
            <v>152.04</v>
          </cell>
        </row>
        <row r="388">
          <cell r="A388">
            <v>19070117</v>
          </cell>
          <cell r="B388">
            <v>152.04</v>
          </cell>
        </row>
        <row r="389">
          <cell r="A389">
            <v>530561</v>
          </cell>
          <cell r="B389">
            <v>542.74</v>
          </cell>
        </row>
        <row r="390">
          <cell r="A390">
            <v>1086547</v>
          </cell>
          <cell r="B390">
            <v>57.39</v>
          </cell>
        </row>
        <row r="391">
          <cell r="A391">
            <v>29128401</v>
          </cell>
          <cell r="B391">
            <v>69.08</v>
          </cell>
        </row>
        <row r="392">
          <cell r="A392">
            <v>533740</v>
          </cell>
          <cell r="B392">
            <v>199.63</v>
          </cell>
        </row>
        <row r="393">
          <cell r="A393">
            <v>19070182</v>
          </cell>
          <cell r="B393">
            <v>568.73</v>
          </cell>
        </row>
        <row r="394">
          <cell r="A394">
            <v>19070091</v>
          </cell>
          <cell r="B394">
            <v>568.73</v>
          </cell>
        </row>
        <row r="395">
          <cell r="A395">
            <v>19070092</v>
          </cell>
          <cell r="B395">
            <v>568.73</v>
          </cell>
        </row>
        <row r="396">
          <cell r="A396">
            <v>19070093</v>
          </cell>
          <cell r="B396">
            <v>568.73</v>
          </cell>
        </row>
        <row r="397">
          <cell r="A397">
            <v>1111397</v>
          </cell>
          <cell r="B397">
            <v>912.71</v>
          </cell>
        </row>
        <row r="398">
          <cell r="A398">
            <v>19070164</v>
          </cell>
          <cell r="B398">
            <v>1062.01</v>
          </cell>
        </row>
        <row r="399">
          <cell r="A399">
            <v>19070147</v>
          </cell>
          <cell r="B399">
            <v>1062.01</v>
          </cell>
        </row>
        <row r="400">
          <cell r="A400">
            <v>19070148</v>
          </cell>
          <cell r="B400">
            <v>1062.01</v>
          </cell>
        </row>
        <row r="401">
          <cell r="A401">
            <v>19070149</v>
          </cell>
          <cell r="B401">
            <v>1062.01</v>
          </cell>
        </row>
        <row r="402">
          <cell r="A402">
            <v>1111401</v>
          </cell>
          <cell r="B402">
            <v>1251.73</v>
          </cell>
        </row>
        <row r="403">
          <cell r="A403">
            <v>19072366</v>
          </cell>
          <cell r="B403">
            <v>47.82</v>
          </cell>
        </row>
        <row r="404">
          <cell r="A404">
            <v>1084031</v>
          </cell>
          <cell r="B404">
            <v>353.89</v>
          </cell>
        </row>
        <row r="405">
          <cell r="A405">
            <v>39020769</v>
          </cell>
          <cell r="B405">
            <v>269</v>
          </cell>
        </row>
        <row r="406">
          <cell r="A406">
            <v>39020770</v>
          </cell>
          <cell r="B406">
            <v>292.91000000000003</v>
          </cell>
        </row>
        <row r="407">
          <cell r="A407">
            <v>39020771</v>
          </cell>
          <cell r="B407">
            <v>316.81</v>
          </cell>
        </row>
        <row r="408">
          <cell r="A408">
            <v>39020827</v>
          </cell>
          <cell r="B408">
            <v>346.69</v>
          </cell>
        </row>
        <row r="409">
          <cell r="A409">
            <v>39020828</v>
          </cell>
          <cell r="B409">
            <v>370.6</v>
          </cell>
        </row>
        <row r="410">
          <cell r="A410">
            <v>39020829</v>
          </cell>
          <cell r="B410">
            <v>396.91</v>
          </cell>
        </row>
        <row r="411">
          <cell r="A411">
            <v>39020795</v>
          </cell>
          <cell r="B411">
            <v>269</v>
          </cell>
        </row>
        <row r="412">
          <cell r="A412">
            <v>39020796</v>
          </cell>
          <cell r="B412">
            <v>292.91000000000003</v>
          </cell>
        </row>
        <row r="413">
          <cell r="A413">
            <v>39020797</v>
          </cell>
          <cell r="B413">
            <v>316.81</v>
          </cell>
        </row>
        <row r="414">
          <cell r="A414">
            <v>39020813</v>
          </cell>
          <cell r="B414">
            <v>346.69</v>
          </cell>
        </row>
        <row r="415">
          <cell r="A415">
            <v>39020814</v>
          </cell>
          <cell r="B415">
            <v>370.6</v>
          </cell>
        </row>
        <row r="416">
          <cell r="A416">
            <v>39020815</v>
          </cell>
          <cell r="B416">
            <v>396.91</v>
          </cell>
        </row>
        <row r="417">
          <cell r="A417">
            <v>39021023</v>
          </cell>
          <cell r="B417">
            <v>298.89</v>
          </cell>
        </row>
        <row r="418">
          <cell r="A418">
            <v>39021025</v>
          </cell>
          <cell r="B418">
            <v>341.91</v>
          </cell>
        </row>
        <row r="419">
          <cell r="A419">
            <v>39020779</v>
          </cell>
          <cell r="B419">
            <v>298.89</v>
          </cell>
        </row>
        <row r="420">
          <cell r="A420">
            <v>39020806</v>
          </cell>
          <cell r="B420">
            <v>341.91</v>
          </cell>
        </row>
        <row r="421">
          <cell r="A421">
            <v>39021212</v>
          </cell>
          <cell r="B421">
            <v>298.89</v>
          </cell>
        </row>
        <row r="422">
          <cell r="A422">
            <v>39021213</v>
          </cell>
          <cell r="B422">
            <v>341.91</v>
          </cell>
        </row>
        <row r="423">
          <cell r="A423">
            <v>39021182</v>
          </cell>
          <cell r="B423">
            <v>298.89</v>
          </cell>
        </row>
        <row r="424">
          <cell r="A424">
            <v>39021188</v>
          </cell>
          <cell r="B424">
            <v>341.91</v>
          </cell>
        </row>
        <row r="425">
          <cell r="A425">
            <v>39017080</v>
          </cell>
          <cell r="B425">
            <v>74.13</v>
          </cell>
        </row>
        <row r="426">
          <cell r="A426">
            <v>39018120</v>
          </cell>
          <cell r="B426">
            <v>74.13</v>
          </cell>
        </row>
        <row r="427">
          <cell r="A427">
            <v>39017090</v>
          </cell>
          <cell r="B427">
            <v>84.87</v>
          </cell>
        </row>
        <row r="428">
          <cell r="A428">
            <v>39021016</v>
          </cell>
          <cell r="B428">
            <v>39.46</v>
          </cell>
        </row>
        <row r="429">
          <cell r="A429">
            <v>39021018</v>
          </cell>
          <cell r="B429">
            <v>88.46</v>
          </cell>
        </row>
        <row r="430">
          <cell r="A430">
            <v>19141819</v>
          </cell>
          <cell r="B430">
            <v>25.11</v>
          </cell>
        </row>
        <row r="431">
          <cell r="A431">
            <v>19141820</v>
          </cell>
          <cell r="B431">
            <v>55.01</v>
          </cell>
        </row>
        <row r="432">
          <cell r="A432">
            <v>19551111</v>
          </cell>
          <cell r="B432">
            <v>21.53</v>
          </cell>
        </row>
        <row r="433">
          <cell r="A433">
            <v>39020184</v>
          </cell>
          <cell r="B433">
            <v>34.659999999999997</v>
          </cell>
        </row>
        <row r="434">
          <cell r="A434">
            <v>19200721</v>
          </cell>
          <cell r="B434">
            <v>34.659999999999997</v>
          </cell>
        </row>
        <row r="435">
          <cell r="A435">
            <v>241966</v>
          </cell>
          <cell r="B435">
            <v>53.8</v>
          </cell>
        </row>
        <row r="436">
          <cell r="A436">
            <v>240316</v>
          </cell>
          <cell r="B436">
            <v>60.97</v>
          </cell>
        </row>
        <row r="437">
          <cell r="A437">
            <v>18040148</v>
          </cell>
          <cell r="B437">
            <v>105.22</v>
          </cell>
        </row>
        <row r="438">
          <cell r="A438">
            <v>520454</v>
          </cell>
          <cell r="B438">
            <v>41.85</v>
          </cell>
        </row>
        <row r="439">
          <cell r="A439">
            <v>524370</v>
          </cell>
          <cell r="B439">
            <v>31.09</v>
          </cell>
        </row>
        <row r="440">
          <cell r="A440">
            <v>524371</v>
          </cell>
          <cell r="B440">
            <v>43.04</v>
          </cell>
        </row>
        <row r="441">
          <cell r="A441">
            <v>522262</v>
          </cell>
          <cell r="B441">
            <v>121.93</v>
          </cell>
        </row>
        <row r="442">
          <cell r="A442">
            <v>522263</v>
          </cell>
          <cell r="B442">
            <v>202.03</v>
          </cell>
        </row>
        <row r="443">
          <cell r="A443">
            <v>522264</v>
          </cell>
          <cell r="B443">
            <v>335.94</v>
          </cell>
        </row>
        <row r="444">
          <cell r="A444">
            <v>39018686</v>
          </cell>
          <cell r="B444">
            <v>149.43</v>
          </cell>
        </row>
        <row r="445">
          <cell r="A445">
            <v>39018687</v>
          </cell>
          <cell r="B445">
            <v>229.53</v>
          </cell>
        </row>
        <row r="446">
          <cell r="A446">
            <v>522265</v>
          </cell>
          <cell r="B446">
            <v>364.64</v>
          </cell>
        </row>
        <row r="447">
          <cell r="A447">
            <v>39018688</v>
          </cell>
          <cell r="B447">
            <v>84.87</v>
          </cell>
        </row>
        <row r="448">
          <cell r="A448">
            <v>39018689</v>
          </cell>
          <cell r="B448">
            <v>168.57</v>
          </cell>
        </row>
        <row r="449">
          <cell r="A449">
            <v>39018690</v>
          </cell>
          <cell r="B449">
            <v>335.94</v>
          </cell>
        </row>
        <row r="450">
          <cell r="A450">
            <v>39019073</v>
          </cell>
          <cell r="B450">
            <v>504.51</v>
          </cell>
        </row>
        <row r="451">
          <cell r="A451">
            <v>39018691</v>
          </cell>
          <cell r="B451">
            <v>98.04</v>
          </cell>
        </row>
        <row r="452">
          <cell r="A452">
            <v>39019062</v>
          </cell>
          <cell r="B452">
            <v>196.05</v>
          </cell>
        </row>
        <row r="453">
          <cell r="A453">
            <v>39019063</v>
          </cell>
          <cell r="B453">
            <v>393.32</v>
          </cell>
        </row>
        <row r="454">
          <cell r="A454">
            <v>39019072</v>
          </cell>
          <cell r="B454">
            <v>589.38</v>
          </cell>
        </row>
        <row r="455">
          <cell r="A455">
            <v>39019064</v>
          </cell>
          <cell r="B455">
            <v>98.04</v>
          </cell>
        </row>
        <row r="456">
          <cell r="A456">
            <v>39019065</v>
          </cell>
          <cell r="B456">
            <v>196.05</v>
          </cell>
        </row>
        <row r="457">
          <cell r="A457">
            <v>39019066</v>
          </cell>
          <cell r="B457">
            <v>393.32</v>
          </cell>
        </row>
        <row r="458">
          <cell r="A458">
            <v>39019071</v>
          </cell>
          <cell r="B458">
            <v>589.38</v>
          </cell>
        </row>
        <row r="459">
          <cell r="A459">
            <v>460476</v>
          </cell>
          <cell r="B459">
            <v>2.38</v>
          </cell>
        </row>
        <row r="460">
          <cell r="A460">
            <v>109515</v>
          </cell>
          <cell r="B460">
            <v>3.59</v>
          </cell>
        </row>
        <row r="461">
          <cell r="A461">
            <v>1009773</v>
          </cell>
          <cell r="B461">
            <v>44.23</v>
          </cell>
        </row>
        <row r="462">
          <cell r="A462">
            <v>411503</v>
          </cell>
          <cell r="B462">
            <v>34.659999999999997</v>
          </cell>
        </row>
        <row r="463">
          <cell r="A463">
            <v>39000507</v>
          </cell>
          <cell r="B463">
            <v>56.19</v>
          </cell>
        </row>
        <row r="464">
          <cell r="A464">
            <v>48829253</v>
          </cell>
          <cell r="B464">
            <v>335.94</v>
          </cell>
        </row>
        <row r="465">
          <cell r="A465">
            <v>1056711</v>
          </cell>
          <cell r="B465">
            <v>227.15</v>
          </cell>
        </row>
        <row r="466">
          <cell r="A466">
            <v>48829249</v>
          </cell>
          <cell r="B466">
            <v>212.81</v>
          </cell>
        </row>
        <row r="467">
          <cell r="A467">
            <v>1056707</v>
          </cell>
          <cell r="B467">
            <v>121.93</v>
          </cell>
        </row>
        <row r="468">
          <cell r="A468">
            <v>19551115</v>
          </cell>
          <cell r="B468">
            <v>5.98</v>
          </cell>
        </row>
        <row r="469">
          <cell r="A469">
            <v>19551353</v>
          </cell>
          <cell r="B469">
            <v>86.08</v>
          </cell>
        </row>
        <row r="470">
          <cell r="A470">
            <v>11037742</v>
          </cell>
          <cell r="B470">
            <v>41.85</v>
          </cell>
        </row>
        <row r="471">
          <cell r="A471">
            <v>11037743</v>
          </cell>
          <cell r="B471">
            <v>47.58</v>
          </cell>
        </row>
        <row r="472">
          <cell r="A472">
            <v>11037744</v>
          </cell>
          <cell r="B472">
            <v>60.35</v>
          </cell>
        </row>
        <row r="473">
          <cell r="A473">
            <v>11037745</v>
          </cell>
          <cell r="B473">
            <v>75.319999999999993</v>
          </cell>
        </row>
        <row r="474">
          <cell r="A474">
            <v>11037746</v>
          </cell>
          <cell r="B474">
            <v>88.21</v>
          </cell>
        </row>
        <row r="475">
          <cell r="A475">
            <v>11037747</v>
          </cell>
          <cell r="B475">
            <v>105.22</v>
          </cell>
        </row>
        <row r="476">
          <cell r="A476">
            <v>11037748</v>
          </cell>
          <cell r="B476">
            <v>121.93</v>
          </cell>
        </row>
        <row r="477">
          <cell r="A477">
            <v>19071721</v>
          </cell>
          <cell r="B477">
            <v>87.28</v>
          </cell>
        </row>
        <row r="478">
          <cell r="A478">
            <v>19071837</v>
          </cell>
          <cell r="B478">
            <v>123.14</v>
          </cell>
        </row>
        <row r="479">
          <cell r="A479">
            <v>19071722</v>
          </cell>
          <cell r="B479">
            <v>276.17</v>
          </cell>
        </row>
        <row r="480">
          <cell r="A480">
            <v>29128401</v>
          </cell>
          <cell r="B480">
            <v>69.08</v>
          </cell>
        </row>
        <row r="481">
          <cell r="A481">
            <v>29128422</v>
          </cell>
          <cell r="B481">
            <v>198.45</v>
          </cell>
        </row>
        <row r="482">
          <cell r="A482">
            <v>29128442</v>
          </cell>
          <cell r="B482">
            <v>350.29</v>
          </cell>
        </row>
        <row r="483">
          <cell r="A483">
            <v>19070116</v>
          </cell>
          <cell r="B483">
            <v>152.04</v>
          </cell>
        </row>
        <row r="484">
          <cell r="A484">
            <v>19070117</v>
          </cell>
          <cell r="B484">
            <v>152.04</v>
          </cell>
        </row>
        <row r="485">
          <cell r="A485">
            <v>19070138</v>
          </cell>
          <cell r="B485">
            <v>129.12</v>
          </cell>
        </row>
        <row r="486">
          <cell r="A486">
            <v>19070139</v>
          </cell>
          <cell r="B486">
            <v>129.12</v>
          </cell>
        </row>
        <row r="487">
          <cell r="A487">
            <v>19070140</v>
          </cell>
          <cell r="B487">
            <v>129.12</v>
          </cell>
        </row>
        <row r="488">
          <cell r="A488">
            <v>530561</v>
          </cell>
          <cell r="B488">
            <v>542.74</v>
          </cell>
        </row>
        <row r="489">
          <cell r="A489">
            <v>1086547</v>
          </cell>
          <cell r="B489">
            <v>57.39</v>
          </cell>
        </row>
        <row r="490">
          <cell r="A490">
            <v>19072366</v>
          </cell>
          <cell r="B490">
            <v>47.82</v>
          </cell>
        </row>
        <row r="491">
          <cell r="A491">
            <v>19070092</v>
          </cell>
          <cell r="B491">
            <v>568.73</v>
          </cell>
        </row>
        <row r="492">
          <cell r="A492">
            <v>19070093</v>
          </cell>
          <cell r="B492">
            <v>568.73</v>
          </cell>
        </row>
        <row r="493">
          <cell r="A493">
            <v>19070187</v>
          </cell>
          <cell r="B493">
            <v>487.76</v>
          </cell>
        </row>
        <row r="494">
          <cell r="A494">
            <v>1135045</v>
          </cell>
          <cell r="B494">
            <v>912.71</v>
          </cell>
        </row>
        <row r="495">
          <cell r="A495">
            <v>1111397</v>
          </cell>
          <cell r="B495">
            <v>912.71</v>
          </cell>
        </row>
        <row r="496">
          <cell r="A496">
            <v>1135046</v>
          </cell>
          <cell r="B496">
            <v>1027.76</v>
          </cell>
        </row>
        <row r="497">
          <cell r="A497">
            <v>1135079</v>
          </cell>
          <cell r="B497">
            <v>1027.76</v>
          </cell>
        </row>
        <row r="498">
          <cell r="A498">
            <v>1118650</v>
          </cell>
          <cell r="B498">
            <v>1027.76</v>
          </cell>
        </row>
        <row r="499">
          <cell r="A499">
            <v>1118651</v>
          </cell>
          <cell r="B499">
            <v>1027.76</v>
          </cell>
        </row>
        <row r="500">
          <cell r="A500">
            <v>1135081</v>
          </cell>
          <cell r="B500">
            <v>1399.58</v>
          </cell>
        </row>
        <row r="501">
          <cell r="A501">
            <v>1135082</v>
          </cell>
          <cell r="B501">
            <v>1399.58</v>
          </cell>
        </row>
        <row r="502">
          <cell r="A502">
            <v>1118645</v>
          </cell>
          <cell r="B502">
            <v>1399.58</v>
          </cell>
        </row>
        <row r="503">
          <cell r="A503">
            <v>1118647</v>
          </cell>
          <cell r="B503">
            <v>1399.58</v>
          </cell>
        </row>
        <row r="504">
          <cell r="A504">
            <v>19070151</v>
          </cell>
          <cell r="B504">
            <v>833.27</v>
          </cell>
        </row>
        <row r="505">
          <cell r="A505">
            <v>19070148</v>
          </cell>
          <cell r="B505">
            <v>1062.01</v>
          </cell>
        </row>
        <row r="506">
          <cell r="A506">
            <v>19070149</v>
          </cell>
          <cell r="B506">
            <v>1062.01</v>
          </cell>
        </row>
        <row r="507">
          <cell r="A507">
            <v>1135077</v>
          </cell>
          <cell r="B507">
            <v>1251.73</v>
          </cell>
        </row>
        <row r="508">
          <cell r="A508">
            <v>1111401</v>
          </cell>
          <cell r="B508">
            <v>1251.73</v>
          </cell>
        </row>
        <row r="509">
          <cell r="A509">
            <v>1135078</v>
          </cell>
          <cell r="B509">
            <v>1366.77</v>
          </cell>
        </row>
        <row r="510">
          <cell r="A510">
            <v>1135080</v>
          </cell>
          <cell r="B510">
            <v>1366.77</v>
          </cell>
        </row>
        <row r="511">
          <cell r="A511">
            <v>1118652</v>
          </cell>
          <cell r="B511">
            <v>1366.77</v>
          </cell>
        </row>
        <row r="512">
          <cell r="A512">
            <v>1118723</v>
          </cell>
          <cell r="B512">
            <v>1366.77</v>
          </cell>
        </row>
        <row r="513">
          <cell r="A513">
            <v>1135083</v>
          </cell>
          <cell r="B513">
            <v>1624.91</v>
          </cell>
        </row>
        <row r="514">
          <cell r="A514">
            <v>1135084</v>
          </cell>
          <cell r="B514">
            <v>1624.91</v>
          </cell>
        </row>
        <row r="515">
          <cell r="A515">
            <v>1118648</v>
          </cell>
          <cell r="B515">
            <v>1624.91</v>
          </cell>
        </row>
        <row r="516">
          <cell r="A516">
            <v>1118649</v>
          </cell>
          <cell r="B516">
            <v>1624.91</v>
          </cell>
        </row>
        <row r="517">
          <cell r="A517">
            <v>19071492</v>
          </cell>
          <cell r="B517">
            <v>154.19999999999999</v>
          </cell>
        </row>
        <row r="518">
          <cell r="A518">
            <v>19071493</v>
          </cell>
          <cell r="B518">
            <v>154.19999999999999</v>
          </cell>
        </row>
        <row r="519">
          <cell r="A519">
            <v>19071718</v>
          </cell>
          <cell r="B519">
            <v>974.33</v>
          </cell>
        </row>
        <row r="520">
          <cell r="A520">
            <v>19071719</v>
          </cell>
          <cell r="B520">
            <v>988.68</v>
          </cell>
        </row>
        <row r="521">
          <cell r="A521">
            <v>19071995</v>
          </cell>
          <cell r="B521">
            <v>1146.48</v>
          </cell>
        </row>
        <row r="522">
          <cell r="A522">
            <v>19071996</v>
          </cell>
          <cell r="B522">
            <v>1171.58</v>
          </cell>
        </row>
        <row r="523">
          <cell r="A523">
            <v>1057976</v>
          </cell>
          <cell r="B523">
            <v>625.23</v>
          </cell>
        </row>
        <row r="524">
          <cell r="A524">
            <v>1057977</v>
          </cell>
          <cell r="B524">
            <v>639.59</v>
          </cell>
        </row>
        <row r="525">
          <cell r="A525">
            <v>19071843</v>
          </cell>
          <cell r="B525">
            <v>1396.34</v>
          </cell>
        </row>
        <row r="526">
          <cell r="A526">
            <v>19071844</v>
          </cell>
          <cell r="B526">
            <v>1408.29</v>
          </cell>
        </row>
        <row r="527">
          <cell r="A527">
            <v>19071998</v>
          </cell>
          <cell r="B527">
            <v>1552.93</v>
          </cell>
        </row>
        <row r="528">
          <cell r="A528">
            <v>19071999</v>
          </cell>
          <cell r="B528">
            <v>1578.05</v>
          </cell>
        </row>
        <row r="529">
          <cell r="A529">
            <v>19071721</v>
          </cell>
          <cell r="B529">
            <v>87.28</v>
          </cell>
        </row>
        <row r="530">
          <cell r="A530">
            <v>1055725</v>
          </cell>
          <cell r="B530">
            <v>92.05</v>
          </cell>
        </row>
        <row r="531">
          <cell r="A531">
            <v>11301318</v>
          </cell>
          <cell r="B531">
            <v>427.99</v>
          </cell>
        </row>
        <row r="532">
          <cell r="A532">
            <v>1118748</v>
          </cell>
          <cell r="B532">
            <v>44.13</v>
          </cell>
        </row>
        <row r="533">
          <cell r="A533">
            <v>1118747</v>
          </cell>
          <cell r="B533">
            <v>320.69</v>
          </cell>
        </row>
        <row r="534">
          <cell r="A534">
            <v>1118746</v>
          </cell>
          <cell r="B534">
            <v>210.79</v>
          </cell>
        </row>
        <row r="535">
          <cell r="A535">
            <v>1111935</v>
          </cell>
          <cell r="B535">
            <v>76.37</v>
          </cell>
        </row>
        <row r="536">
          <cell r="A536">
            <v>19070614</v>
          </cell>
          <cell r="B536">
            <v>137.21</v>
          </cell>
        </row>
        <row r="537">
          <cell r="A537">
            <v>19074169</v>
          </cell>
          <cell r="B537">
            <v>28.82</v>
          </cell>
        </row>
        <row r="538">
          <cell r="A538">
            <v>1069615</v>
          </cell>
          <cell r="B538">
            <v>185.05</v>
          </cell>
        </row>
        <row r="539">
          <cell r="A539">
            <v>1056355</v>
          </cell>
          <cell r="B539">
            <v>148.22999999999999</v>
          </cell>
        </row>
        <row r="540">
          <cell r="A540">
            <v>1086547</v>
          </cell>
          <cell r="B540">
            <v>57.39</v>
          </cell>
        </row>
        <row r="541">
          <cell r="A541">
            <v>1073476</v>
          </cell>
          <cell r="B541">
            <v>253.44</v>
          </cell>
        </row>
        <row r="542">
          <cell r="A542">
            <v>47121210</v>
          </cell>
          <cell r="B542">
            <v>199.98</v>
          </cell>
        </row>
        <row r="543">
          <cell r="A543">
            <v>39100017</v>
          </cell>
          <cell r="B543">
            <v>1346.14</v>
          </cell>
        </row>
        <row r="544">
          <cell r="A544">
            <v>39100019</v>
          </cell>
          <cell r="B544">
            <v>1362.87</v>
          </cell>
        </row>
        <row r="545">
          <cell r="A545">
            <v>39100021</v>
          </cell>
          <cell r="B545">
            <v>1393.96</v>
          </cell>
        </row>
        <row r="546">
          <cell r="A546">
            <v>39100041</v>
          </cell>
          <cell r="B546">
            <v>1435.79</v>
          </cell>
        </row>
        <row r="547">
          <cell r="A547">
            <v>39100043</v>
          </cell>
          <cell r="B547">
            <v>1591.19</v>
          </cell>
        </row>
        <row r="548">
          <cell r="A548">
            <v>39100045</v>
          </cell>
          <cell r="B548">
            <v>1768.12</v>
          </cell>
        </row>
        <row r="549">
          <cell r="A549">
            <v>39100047</v>
          </cell>
          <cell r="B549">
            <v>1820.74</v>
          </cell>
        </row>
        <row r="550">
          <cell r="A550">
            <v>39100049</v>
          </cell>
          <cell r="B550">
            <v>1872.14</v>
          </cell>
        </row>
        <row r="551">
          <cell r="A551">
            <v>39100051</v>
          </cell>
          <cell r="B551">
            <v>1976.17</v>
          </cell>
        </row>
        <row r="552">
          <cell r="A552">
            <v>39100053</v>
          </cell>
          <cell r="B552">
            <v>2028.77</v>
          </cell>
        </row>
        <row r="553">
          <cell r="A553">
            <v>39100067</v>
          </cell>
          <cell r="B553">
            <v>2132.7600000000002</v>
          </cell>
        </row>
        <row r="554">
          <cell r="A554">
            <v>39100069</v>
          </cell>
          <cell r="B554">
            <v>2184.16</v>
          </cell>
        </row>
        <row r="555">
          <cell r="A555">
            <v>39100071</v>
          </cell>
          <cell r="B555">
            <v>2340.7800000000002</v>
          </cell>
        </row>
        <row r="556">
          <cell r="A556">
            <v>39100073</v>
          </cell>
          <cell r="B556">
            <v>2392.19</v>
          </cell>
        </row>
        <row r="557">
          <cell r="A557">
            <v>39100075</v>
          </cell>
          <cell r="B557">
            <v>2444.7800000000002</v>
          </cell>
        </row>
        <row r="558">
          <cell r="A558">
            <v>39100077</v>
          </cell>
          <cell r="B558">
            <v>2496.1799999999998</v>
          </cell>
        </row>
        <row r="559">
          <cell r="A559">
            <v>39100085</v>
          </cell>
          <cell r="B559">
            <v>2340.7800000000002</v>
          </cell>
        </row>
        <row r="560">
          <cell r="A560">
            <v>39100087</v>
          </cell>
          <cell r="B560">
            <v>2392.19</v>
          </cell>
        </row>
        <row r="561">
          <cell r="A561">
            <v>39100089</v>
          </cell>
          <cell r="B561">
            <v>2444.7800000000002</v>
          </cell>
        </row>
        <row r="562">
          <cell r="A562">
            <v>39100091</v>
          </cell>
          <cell r="B562">
            <v>2496.1799999999998</v>
          </cell>
        </row>
        <row r="563">
          <cell r="A563">
            <v>39100093</v>
          </cell>
          <cell r="B563">
            <v>2548.79</v>
          </cell>
        </row>
        <row r="564">
          <cell r="A564">
            <v>39100095</v>
          </cell>
          <cell r="B564">
            <v>2600.21</v>
          </cell>
        </row>
        <row r="565">
          <cell r="A565">
            <v>39100097</v>
          </cell>
          <cell r="B565">
            <v>2011.29</v>
          </cell>
        </row>
        <row r="566">
          <cell r="A566">
            <v>39100099</v>
          </cell>
          <cell r="B566">
            <v>2045.81</v>
          </cell>
        </row>
        <row r="567">
          <cell r="A567">
            <v>39100101</v>
          </cell>
          <cell r="B567">
            <v>2080.15</v>
          </cell>
        </row>
        <row r="568">
          <cell r="A568">
            <v>39100103</v>
          </cell>
          <cell r="B568">
            <v>2132.7600000000002</v>
          </cell>
        </row>
        <row r="569">
          <cell r="A569">
            <v>39100105</v>
          </cell>
          <cell r="B569">
            <v>2184.16</v>
          </cell>
        </row>
        <row r="570">
          <cell r="A570">
            <v>39100107</v>
          </cell>
          <cell r="B570">
            <v>2236.77</v>
          </cell>
        </row>
        <row r="571">
          <cell r="A571">
            <v>39100109</v>
          </cell>
          <cell r="B571">
            <v>2288.1799999999998</v>
          </cell>
        </row>
        <row r="572">
          <cell r="A572">
            <v>39100111</v>
          </cell>
          <cell r="B572">
            <v>2340.7800000000002</v>
          </cell>
        </row>
        <row r="573">
          <cell r="A573">
            <v>39100113</v>
          </cell>
          <cell r="B573">
            <v>2392.19</v>
          </cell>
        </row>
        <row r="574">
          <cell r="A574">
            <v>39100123</v>
          </cell>
          <cell r="B574">
            <v>2387.2600000000002</v>
          </cell>
        </row>
        <row r="575">
          <cell r="A575">
            <v>39100137</v>
          </cell>
          <cell r="B575">
            <v>2444.7800000000002</v>
          </cell>
        </row>
        <row r="576">
          <cell r="A576">
            <v>39100139</v>
          </cell>
          <cell r="B576">
            <v>2548.79</v>
          </cell>
        </row>
        <row r="577">
          <cell r="A577">
            <v>39100129</v>
          </cell>
          <cell r="B577">
            <v>2652.8</v>
          </cell>
        </row>
        <row r="578">
          <cell r="A578">
            <v>39100131</v>
          </cell>
          <cell r="B578">
            <v>2756.82</v>
          </cell>
        </row>
        <row r="579">
          <cell r="A579">
            <v>39100133</v>
          </cell>
          <cell r="B579">
            <v>2859.61</v>
          </cell>
        </row>
        <row r="580">
          <cell r="A580">
            <v>39100135</v>
          </cell>
          <cell r="B580">
            <v>2964.82</v>
          </cell>
        </row>
        <row r="581">
          <cell r="A581">
            <v>39100145</v>
          </cell>
          <cell r="B581">
            <v>2494.98</v>
          </cell>
        </row>
        <row r="582">
          <cell r="A582">
            <v>39100159</v>
          </cell>
          <cell r="B582">
            <v>2548.79</v>
          </cell>
        </row>
        <row r="583">
          <cell r="A583">
            <v>39100149</v>
          </cell>
          <cell r="B583">
            <v>2652.8</v>
          </cell>
        </row>
        <row r="584">
          <cell r="A584">
            <v>39100151</v>
          </cell>
          <cell r="B584">
            <v>2756.82</v>
          </cell>
        </row>
        <row r="585">
          <cell r="A585">
            <v>39100153</v>
          </cell>
          <cell r="B585">
            <v>2860.82</v>
          </cell>
        </row>
        <row r="586">
          <cell r="A586">
            <v>39100155</v>
          </cell>
          <cell r="B586">
            <v>2964.82</v>
          </cell>
        </row>
        <row r="587">
          <cell r="A587">
            <v>39100157</v>
          </cell>
          <cell r="B587">
            <v>3068.83</v>
          </cell>
        </row>
        <row r="588">
          <cell r="A588">
            <v>39100345</v>
          </cell>
          <cell r="B588">
            <v>2880.84</v>
          </cell>
        </row>
        <row r="589">
          <cell r="A589">
            <v>39100347</v>
          </cell>
          <cell r="B589">
            <v>2880.84</v>
          </cell>
        </row>
        <row r="590">
          <cell r="A590">
            <v>39100349</v>
          </cell>
          <cell r="B590">
            <v>3361.62</v>
          </cell>
        </row>
        <row r="591">
          <cell r="A591">
            <v>39100351</v>
          </cell>
          <cell r="B591">
            <v>3361.62</v>
          </cell>
        </row>
        <row r="592">
          <cell r="A592">
            <v>39100366</v>
          </cell>
          <cell r="B592">
            <v>3479.7</v>
          </cell>
        </row>
        <row r="593">
          <cell r="A593">
            <v>39100368</v>
          </cell>
          <cell r="B593">
            <v>3593.45</v>
          </cell>
        </row>
        <row r="594">
          <cell r="A594">
            <v>39100370</v>
          </cell>
          <cell r="B594">
            <v>3593.45</v>
          </cell>
        </row>
        <row r="595">
          <cell r="A595">
            <v>39100018</v>
          </cell>
          <cell r="B595">
            <v>1530.23</v>
          </cell>
        </row>
        <row r="596">
          <cell r="A596">
            <v>39100020</v>
          </cell>
          <cell r="B596">
            <v>1566.09</v>
          </cell>
        </row>
        <row r="597">
          <cell r="A597">
            <v>39100022</v>
          </cell>
          <cell r="B597">
            <v>1601.96</v>
          </cell>
        </row>
        <row r="598">
          <cell r="A598">
            <v>39100042</v>
          </cell>
          <cell r="B598">
            <v>1649.79</v>
          </cell>
        </row>
        <row r="599">
          <cell r="A599">
            <v>39100044</v>
          </cell>
          <cell r="B599">
            <v>1829.11</v>
          </cell>
        </row>
        <row r="600">
          <cell r="A600">
            <v>39100046</v>
          </cell>
          <cell r="B600">
            <v>2032.34</v>
          </cell>
        </row>
        <row r="601">
          <cell r="A601">
            <v>39100048</v>
          </cell>
          <cell r="B601">
            <v>2092.12</v>
          </cell>
        </row>
        <row r="602">
          <cell r="A602">
            <v>39100050</v>
          </cell>
          <cell r="B602">
            <v>2151.89</v>
          </cell>
        </row>
        <row r="603">
          <cell r="A603">
            <v>39100052</v>
          </cell>
          <cell r="B603">
            <v>2271.44</v>
          </cell>
        </row>
        <row r="604">
          <cell r="A604">
            <v>39100054</v>
          </cell>
          <cell r="B604">
            <v>2331.21</v>
          </cell>
        </row>
        <row r="605">
          <cell r="A605">
            <v>39100068</v>
          </cell>
          <cell r="B605">
            <v>2450.7600000000002</v>
          </cell>
        </row>
        <row r="606">
          <cell r="A606">
            <v>39100070</v>
          </cell>
          <cell r="B606">
            <v>2510.5500000000002</v>
          </cell>
        </row>
        <row r="607">
          <cell r="A607">
            <v>39100072</v>
          </cell>
          <cell r="B607">
            <v>2689.86</v>
          </cell>
        </row>
        <row r="608">
          <cell r="A608">
            <v>39100074</v>
          </cell>
          <cell r="B608">
            <v>2749.63</v>
          </cell>
        </row>
        <row r="609">
          <cell r="A609">
            <v>39100076</v>
          </cell>
          <cell r="B609">
            <v>2809.39</v>
          </cell>
        </row>
        <row r="610">
          <cell r="A610">
            <v>39100078</v>
          </cell>
          <cell r="B610">
            <v>2869.19</v>
          </cell>
        </row>
        <row r="611">
          <cell r="A611">
            <v>39100086</v>
          </cell>
          <cell r="B611">
            <v>2689.86</v>
          </cell>
        </row>
        <row r="612">
          <cell r="A612">
            <v>39100088</v>
          </cell>
          <cell r="B612">
            <v>2749.63</v>
          </cell>
        </row>
        <row r="613">
          <cell r="A613">
            <v>39100090</v>
          </cell>
          <cell r="B613">
            <v>2809.39</v>
          </cell>
        </row>
        <row r="614">
          <cell r="A614">
            <v>39100092</v>
          </cell>
          <cell r="B614">
            <v>2869.19</v>
          </cell>
        </row>
        <row r="615">
          <cell r="A615">
            <v>39100094</v>
          </cell>
          <cell r="B615">
            <v>2928.96</v>
          </cell>
        </row>
        <row r="616">
          <cell r="A616">
            <v>39100096</v>
          </cell>
          <cell r="B616">
            <v>2988.73</v>
          </cell>
        </row>
        <row r="617">
          <cell r="A617">
            <v>39100098</v>
          </cell>
          <cell r="B617">
            <v>2320.7600000000002</v>
          </cell>
        </row>
        <row r="618">
          <cell r="A618">
            <v>39100100</v>
          </cell>
          <cell r="B618">
            <v>2357.33</v>
          </cell>
        </row>
        <row r="619">
          <cell r="A619">
            <v>39100102</v>
          </cell>
          <cell r="B619">
            <v>2390.98</v>
          </cell>
        </row>
        <row r="620">
          <cell r="A620">
            <v>39100104</v>
          </cell>
          <cell r="B620">
            <v>2450.7600000000002</v>
          </cell>
        </row>
        <row r="621">
          <cell r="A621">
            <v>39100106</v>
          </cell>
          <cell r="B621">
            <v>2510.5500000000002</v>
          </cell>
        </row>
        <row r="622">
          <cell r="A622">
            <v>39100108</v>
          </cell>
          <cell r="B622">
            <v>2570.3200000000002</v>
          </cell>
        </row>
        <row r="623">
          <cell r="A623">
            <v>39100110</v>
          </cell>
          <cell r="B623">
            <v>2630.09</v>
          </cell>
        </row>
        <row r="624">
          <cell r="A624">
            <v>39100112</v>
          </cell>
          <cell r="B624">
            <v>2689.86</v>
          </cell>
        </row>
        <row r="625">
          <cell r="A625">
            <v>39100114</v>
          </cell>
          <cell r="B625">
            <v>2749.63</v>
          </cell>
        </row>
        <row r="626">
          <cell r="A626">
            <v>39100124</v>
          </cell>
          <cell r="B626">
            <v>2752.54</v>
          </cell>
        </row>
        <row r="627">
          <cell r="A627">
            <v>39100138</v>
          </cell>
          <cell r="B627">
            <v>2809.39</v>
          </cell>
        </row>
        <row r="628">
          <cell r="A628">
            <v>39100140</v>
          </cell>
          <cell r="B628">
            <v>2928.96</v>
          </cell>
        </row>
        <row r="629">
          <cell r="A629">
            <v>39100130</v>
          </cell>
          <cell r="B629">
            <v>3048.52</v>
          </cell>
        </row>
        <row r="630">
          <cell r="A630">
            <v>39100132</v>
          </cell>
          <cell r="B630">
            <v>3168.06</v>
          </cell>
        </row>
        <row r="631">
          <cell r="A631">
            <v>39100134</v>
          </cell>
          <cell r="B631">
            <v>3287.62</v>
          </cell>
        </row>
        <row r="632">
          <cell r="A632">
            <v>39100136</v>
          </cell>
          <cell r="B632">
            <v>3407.16</v>
          </cell>
        </row>
        <row r="633">
          <cell r="A633">
            <v>39100146</v>
          </cell>
          <cell r="B633">
            <v>2872.08</v>
          </cell>
        </row>
        <row r="634">
          <cell r="A634">
            <v>39100160</v>
          </cell>
          <cell r="B634">
            <v>2929.07</v>
          </cell>
        </row>
        <row r="635">
          <cell r="A635">
            <v>39100150</v>
          </cell>
          <cell r="B635">
            <v>3048.52</v>
          </cell>
        </row>
        <row r="636">
          <cell r="A636">
            <v>39100152</v>
          </cell>
          <cell r="B636">
            <v>3168.06</v>
          </cell>
        </row>
        <row r="637">
          <cell r="A637">
            <v>39100154</v>
          </cell>
          <cell r="B637">
            <v>3287.62</v>
          </cell>
        </row>
        <row r="638">
          <cell r="A638">
            <v>39100156</v>
          </cell>
          <cell r="B638">
            <v>3407.16</v>
          </cell>
        </row>
        <row r="639">
          <cell r="A639">
            <v>39100158</v>
          </cell>
          <cell r="B639">
            <v>3526.7</v>
          </cell>
        </row>
        <row r="640">
          <cell r="A640">
            <v>39100346</v>
          </cell>
          <cell r="B640">
            <v>3310.14</v>
          </cell>
        </row>
        <row r="641">
          <cell r="A641">
            <v>39100348</v>
          </cell>
          <cell r="B641">
            <v>3310.14</v>
          </cell>
        </row>
        <row r="642">
          <cell r="A642">
            <v>39100350</v>
          </cell>
          <cell r="B642">
            <v>3862.48</v>
          </cell>
        </row>
        <row r="643">
          <cell r="A643">
            <v>39100352</v>
          </cell>
          <cell r="B643">
            <v>3862.48</v>
          </cell>
        </row>
        <row r="644">
          <cell r="A644">
            <v>39100367</v>
          </cell>
          <cell r="B644">
            <v>3983.43</v>
          </cell>
        </row>
        <row r="645">
          <cell r="A645">
            <v>39100369</v>
          </cell>
          <cell r="B645">
            <v>4094.84</v>
          </cell>
        </row>
        <row r="646">
          <cell r="A646">
            <v>39100371</v>
          </cell>
          <cell r="B646">
            <v>4094.84</v>
          </cell>
        </row>
        <row r="647">
          <cell r="A647">
            <v>39022210</v>
          </cell>
          <cell r="B647">
            <v>269</v>
          </cell>
        </row>
        <row r="648">
          <cell r="A648">
            <v>39022211</v>
          </cell>
          <cell r="B648">
            <v>292.91000000000003</v>
          </cell>
        </row>
        <row r="649">
          <cell r="A649">
            <v>39022212</v>
          </cell>
          <cell r="B649">
            <v>316.81</v>
          </cell>
        </row>
        <row r="650">
          <cell r="A650">
            <v>39022213</v>
          </cell>
          <cell r="B650">
            <v>304.86</v>
          </cell>
        </row>
        <row r="651">
          <cell r="A651">
            <v>39022214</v>
          </cell>
          <cell r="B651">
            <v>328.77</v>
          </cell>
        </row>
        <row r="652">
          <cell r="A652">
            <v>39022215</v>
          </cell>
          <cell r="B652">
            <v>352.68</v>
          </cell>
        </row>
        <row r="653">
          <cell r="A653">
            <v>39020827</v>
          </cell>
          <cell r="B653">
            <v>346.69</v>
          </cell>
        </row>
        <row r="654">
          <cell r="A654">
            <v>39020828</v>
          </cell>
          <cell r="B654">
            <v>370.6</v>
          </cell>
        </row>
        <row r="655">
          <cell r="A655">
            <v>39020829</v>
          </cell>
          <cell r="B655">
            <v>396.91</v>
          </cell>
        </row>
        <row r="656">
          <cell r="A656">
            <v>39020848</v>
          </cell>
          <cell r="B656">
            <v>388.52</v>
          </cell>
        </row>
        <row r="657">
          <cell r="A657">
            <v>39020849</v>
          </cell>
          <cell r="B657">
            <v>412.44</v>
          </cell>
        </row>
        <row r="658">
          <cell r="A658">
            <v>39020850</v>
          </cell>
          <cell r="B658">
            <v>436.35</v>
          </cell>
        </row>
        <row r="659">
          <cell r="A659">
            <v>39022255</v>
          </cell>
          <cell r="B659">
            <v>388.52</v>
          </cell>
        </row>
        <row r="660">
          <cell r="A660">
            <v>39022256</v>
          </cell>
          <cell r="B660">
            <v>412.44</v>
          </cell>
        </row>
        <row r="661">
          <cell r="A661">
            <v>39022257</v>
          </cell>
          <cell r="B661">
            <v>436.35</v>
          </cell>
        </row>
        <row r="662">
          <cell r="A662">
            <v>39022196</v>
          </cell>
          <cell r="B662">
            <v>352.68</v>
          </cell>
        </row>
        <row r="663">
          <cell r="A663">
            <v>39022200</v>
          </cell>
          <cell r="B663">
            <v>388.52</v>
          </cell>
        </row>
        <row r="664">
          <cell r="A664">
            <v>39020820</v>
          </cell>
          <cell r="B664">
            <v>485.38</v>
          </cell>
        </row>
        <row r="665">
          <cell r="A665">
            <v>39020834</v>
          </cell>
          <cell r="B665">
            <v>522.44000000000005</v>
          </cell>
        </row>
        <row r="666">
          <cell r="A666">
            <v>39020838</v>
          </cell>
          <cell r="B666">
            <v>523.41999999999996</v>
          </cell>
        </row>
        <row r="667">
          <cell r="A667">
            <v>39020988</v>
          </cell>
          <cell r="B667">
            <v>583.4</v>
          </cell>
        </row>
        <row r="668">
          <cell r="A668">
            <v>39020992</v>
          </cell>
          <cell r="B668">
            <v>583.4</v>
          </cell>
        </row>
        <row r="669">
          <cell r="A669">
            <v>39021002</v>
          </cell>
          <cell r="B669">
            <v>661.11</v>
          </cell>
        </row>
        <row r="670">
          <cell r="A670">
            <v>39021009</v>
          </cell>
          <cell r="B670">
            <v>708.93</v>
          </cell>
        </row>
        <row r="671">
          <cell r="A671">
            <v>39022204</v>
          </cell>
          <cell r="B671">
            <v>352.68</v>
          </cell>
        </row>
        <row r="672">
          <cell r="A672">
            <v>39022207</v>
          </cell>
          <cell r="B672">
            <v>388.52</v>
          </cell>
        </row>
        <row r="673">
          <cell r="A673">
            <v>39021191</v>
          </cell>
          <cell r="B673">
            <v>478.19</v>
          </cell>
        </row>
        <row r="674">
          <cell r="A674">
            <v>39021194</v>
          </cell>
          <cell r="B674">
            <v>522.44000000000005</v>
          </cell>
        </row>
        <row r="675">
          <cell r="A675">
            <v>39021197</v>
          </cell>
          <cell r="B675">
            <v>523.41999999999996</v>
          </cell>
        </row>
        <row r="676">
          <cell r="A676">
            <v>39021200</v>
          </cell>
          <cell r="B676">
            <v>583.4</v>
          </cell>
        </row>
        <row r="677">
          <cell r="A677">
            <v>39021203</v>
          </cell>
          <cell r="B677">
            <v>584.52</v>
          </cell>
        </row>
        <row r="678">
          <cell r="A678">
            <v>39021206</v>
          </cell>
          <cell r="B678">
            <v>661.11</v>
          </cell>
        </row>
        <row r="679">
          <cell r="A679">
            <v>39021209</v>
          </cell>
          <cell r="B679">
            <v>708.93</v>
          </cell>
        </row>
        <row r="680">
          <cell r="A680">
            <v>39022248</v>
          </cell>
          <cell r="B680">
            <v>39.46</v>
          </cell>
        </row>
        <row r="681">
          <cell r="A681">
            <v>39022252</v>
          </cell>
          <cell r="B681">
            <v>71.73</v>
          </cell>
        </row>
        <row r="682">
          <cell r="A682">
            <v>39021018</v>
          </cell>
          <cell r="B682">
            <v>88.46</v>
          </cell>
        </row>
        <row r="683">
          <cell r="A683">
            <v>39021020</v>
          </cell>
          <cell r="B683">
            <v>102.82</v>
          </cell>
        </row>
        <row r="684">
          <cell r="A684">
            <v>39021016</v>
          </cell>
          <cell r="B684">
            <v>39.46</v>
          </cell>
        </row>
        <row r="685">
          <cell r="A685">
            <v>19551046</v>
          </cell>
          <cell r="B685">
            <v>74.13</v>
          </cell>
        </row>
        <row r="686">
          <cell r="A686">
            <v>39021018</v>
          </cell>
          <cell r="B686">
            <v>88.46</v>
          </cell>
        </row>
        <row r="687">
          <cell r="A687">
            <v>39021020</v>
          </cell>
          <cell r="B687">
            <v>102.82</v>
          </cell>
        </row>
        <row r="688">
          <cell r="A688">
            <v>39022395</v>
          </cell>
          <cell r="B688">
            <v>86.08</v>
          </cell>
        </row>
        <row r="689">
          <cell r="A689">
            <v>39018004</v>
          </cell>
          <cell r="B689">
            <v>86.08</v>
          </cell>
        </row>
        <row r="690">
          <cell r="A690">
            <v>39022260</v>
          </cell>
          <cell r="B690">
            <v>28.68</v>
          </cell>
        </row>
        <row r="691">
          <cell r="A691">
            <v>39022262</v>
          </cell>
          <cell r="B691">
            <v>31.09</v>
          </cell>
        </row>
        <row r="692">
          <cell r="A692">
            <v>19141819</v>
          </cell>
          <cell r="B692">
            <v>25.11</v>
          </cell>
        </row>
        <row r="693">
          <cell r="A693">
            <v>19141820</v>
          </cell>
          <cell r="B693">
            <v>55.01</v>
          </cell>
        </row>
        <row r="694">
          <cell r="A694">
            <v>19550241</v>
          </cell>
          <cell r="B694">
            <v>109.98</v>
          </cell>
        </row>
        <row r="695">
          <cell r="A695">
            <v>39017477</v>
          </cell>
          <cell r="B695">
            <v>164.98</v>
          </cell>
        </row>
        <row r="696">
          <cell r="A696">
            <v>39017478</v>
          </cell>
          <cell r="B696">
            <v>219.96</v>
          </cell>
        </row>
        <row r="697">
          <cell r="A697">
            <v>19143335</v>
          </cell>
          <cell r="B697">
            <v>114.77</v>
          </cell>
        </row>
        <row r="698">
          <cell r="A698">
            <v>19143336</v>
          </cell>
          <cell r="B698">
            <v>321.91000000000003</v>
          </cell>
        </row>
        <row r="699">
          <cell r="A699">
            <v>39017474</v>
          </cell>
          <cell r="B699">
            <v>530.79999999999995</v>
          </cell>
        </row>
        <row r="700">
          <cell r="A700">
            <v>39017475</v>
          </cell>
          <cell r="B700">
            <v>802.19</v>
          </cell>
        </row>
        <row r="701">
          <cell r="A701">
            <v>39017476</v>
          </cell>
          <cell r="B701">
            <v>1061.5999999999999</v>
          </cell>
        </row>
        <row r="702">
          <cell r="A702">
            <v>39021975</v>
          </cell>
          <cell r="B702">
            <v>59.77</v>
          </cell>
        </row>
        <row r="703">
          <cell r="A703">
            <v>1019282</v>
          </cell>
          <cell r="B703">
            <v>8.35</v>
          </cell>
        </row>
        <row r="704">
          <cell r="A704">
            <v>39020973</v>
          </cell>
          <cell r="B704">
            <v>19.13</v>
          </cell>
        </row>
        <row r="705">
          <cell r="A705">
            <v>39020974</v>
          </cell>
          <cell r="B705">
            <v>66.95</v>
          </cell>
        </row>
        <row r="706">
          <cell r="A706">
            <v>19551111</v>
          </cell>
          <cell r="B706">
            <v>21.53</v>
          </cell>
        </row>
        <row r="707">
          <cell r="A707">
            <v>39020184</v>
          </cell>
          <cell r="B707">
            <v>34.659999999999997</v>
          </cell>
        </row>
        <row r="708">
          <cell r="A708">
            <v>11191498</v>
          </cell>
          <cell r="B708">
            <v>47.82</v>
          </cell>
        </row>
        <row r="709">
          <cell r="A709">
            <v>19135655</v>
          </cell>
          <cell r="B709">
            <v>133.9</v>
          </cell>
        </row>
        <row r="710">
          <cell r="A710">
            <v>19131746</v>
          </cell>
          <cell r="B710">
            <v>150.62</v>
          </cell>
        </row>
        <row r="711">
          <cell r="A711">
            <v>19139718</v>
          </cell>
          <cell r="B711">
            <v>182.92</v>
          </cell>
        </row>
        <row r="712">
          <cell r="A712">
            <v>241966</v>
          </cell>
          <cell r="B712">
            <v>53.8</v>
          </cell>
        </row>
        <row r="713">
          <cell r="A713">
            <v>265480</v>
          </cell>
          <cell r="B713">
            <v>133.9</v>
          </cell>
        </row>
        <row r="714">
          <cell r="A714">
            <v>25198402</v>
          </cell>
          <cell r="B714">
            <v>149.43</v>
          </cell>
        </row>
        <row r="715">
          <cell r="A715">
            <v>11150856</v>
          </cell>
          <cell r="B715">
            <v>166.16</v>
          </cell>
        </row>
        <row r="716">
          <cell r="A716">
            <v>25145802</v>
          </cell>
          <cell r="B716">
            <v>208</v>
          </cell>
        </row>
        <row r="717">
          <cell r="A717">
            <v>18040148</v>
          </cell>
          <cell r="B717">
            <v>105.22</v>
          </cell>
        </row>
        <row r="718">
          <cell r="A718">
            <v>18072642</v>
          </cell>
          <cell r="B718">
            <v>129.12</v>
          </cell>
        </row>
        <row r="719">
          <cell r="A719">
            <v>18060162</v>
          </cell>
          <cell r="B719">
            <v>182.92</v>
          </cell>
        </row>
        <row r="720">
          <cell r="A720">
            <v>524551</v>
          </cell>
          <cell r="B720">
            <v>27.5</v>
          </cell>
        </row>
        <row r="721">
          <cell r="A721">
            <v>520454</v>
          </cell>
          <cell r="B721">
            <v>41.85</v>
          </cell>
        </row>
        <row r="722">
          <cell r="A722">
            <v>522313</v>
          </cell>
          <cell r="B722">
            <v>84.87</v>
          </cell>
        </row>
        <row r="723">
          <cell r="A723">
            <v>524370</v>
          </cell>
          <cell r="B723">
            <v>31.09</v>
          </cell>
        </row>
        <row r="724">
          <cell r="A724">
            <v>524371</v>
          </cell>
          <cell r="B724">
            <v>43.04</v>
          </cell>
        </row>
        <row r="725">
          <cell r="A725">
            <v>522262</v>
          </cell>
          <cell r="B725">
            <v>121.93</v>
          </cell>
        </row>
        <row r="726">
          <cell r="A726">
            <v>522263</v>
          </cell>
          <cell r="B726">
            <v>202.03</v>
          </cell>
        </row>
        <row r="727">
          <cell r="A727">
            <v>522264</v>
          </cell>
          <cell r="B727">
            <v>335.94</v>
          </cell>
        </row>
        <row r="728">
          <cell r="A728">
            <v>39018686</v>
          </cell>
          <cell r="B728">
            <v>149.43</v>
          </cell>
        </row>
        <row r="729">
          <cell r="A729">
            <v>39018687</v>
          </cell>
          <cell r="B729">
            <v>229.53</v>
          </cell>
        </row>
        <row r="730">
          <cell r="A730">
            <v>522265</v>
          </cell>
          <cell r="B730">
            <v>364.64</v>
          </cell>
        </row>
        <row r="731">
          <cell r="A731">
            <v>39018688</v>
          </cell>
          <cell r="B731">
            <v>84.87</v>
          </cell>
        </row>
        <row r="732">
          <cell r="A732">
            <v>39018689</v>
          </cell>
          <cell r="B732">
            <v>168.57</v>
          </cell>
        </row>
        <row r="733">
          <cell r="A733">
            <v>39018690</v>
          </cell>
          <cell r="B733">
            <v>335.94</v>
          </cell>
        </row>
        <row r="734">
          <cell r="A734">
            <v>39019073</v>
          </cell>
          <cell r="B734">
            <v>504.51</v>
          </cell>
        </row>
        <row r="735">
          <cell r="A735">
            <v>39019064</v>
          </cell>
          <cell r="B735">
            <v>98.04</v>
          </cell>
        </row>
        <row r="736">
          <cell r="A736">
            <v>39019065</v>
          </cell>
          <cell r="B736">
            <v>196.05</v>
          </cell>
        </row>
        <row r="737">
          <cell r="A737">
            <v>39019066</v>
          </cell>
          <cell r="B737">
            <v>393.32</v>
          </cell>
        </row>
        <row r="738">
          <cell r="A738">
            <v>39019071</v>
          </cell>
          <cell r="B738">
            <v>589.38</v>
          </cell>
        </row>
        <row r="739">
          <cell r="A739">
            <v>39018691</v>
          </cell>
          <cell r="B739">
            <v>98.04</v>
          </cell>
        </row>
        <row r="740">
          <cell r="A740">
            <v>39019062</v>
          </cell>
          <cell r="B740">
            <v>196.05</v>
          </cell>
        </row>
        <row r="741">
          <cell r="A741">
            <v>39019063</v>
          </cell>
          <cell r="B741">
            <v>393.32</v>
          </cell>
        </row>
        <row r="742">
          <cell r="A742">
            <v>39019072</v>
          </cell>
          <cell r="B742">
            <v>589.38</v>
          </cell>
        </row>
        <row r="743">
          <cell r="A743">
            <v>39019067</v>
          </cell>
          <cell r="B743">
            <v>196.05</v>
          </cell>
        </row>
        <row r="744">
          <cell r="A744">
            <v>39019068</v>
          </cell>
          <cell r="B744">
            <v>393.32</v>
          </cell>
        </row>
        <row r="745">
          <cell r="A745">
            <v>39019069</v>
          </cell>
          <cell r="B745">
            <v>785.43</v>
          </cell>
        </row>
        <row r="746">
          <cell r="A746">
            <v>39019070</v>
          </cell>
          <cell r="B746">
            <v>1178.76</v>
          </cell>
        </row>
        <row r="747">
          <cell r="A747">
            <v>39000515</v>
          </cell>
          <cell r="B747">
            <v>2.38</v>
          </cell>
        </row>
        <row r="748">
          <cell r="A748">
            <v>109515</v>
          </cell>
          <cell r="B748">
            <v>3.59</v>
          </cell>
        </row>
        <row r="749">
          <cell r="A749">
            <v>520853</v>
          </cell>
          <cell r="B749">
            <v>4.7699999999999996</v>
          </cell>
        </row>
        <row r="750">
          <cell r="A750">
            <v>1009773</v>
          </cell>
          <cell r="B750">
            <v>44.23</v>
          </cell>
        </row>
        <row r="751">
          <cell r="A751">
            <v>411503</v>
          </cell>
          <cell r="B751">
            <v>34.659999999999997</v>
          </cell>
        </row>
        <row r="752">
          <cell r="A752">
            <v>39000507</v>
          </cell>
          <cell r="B752">
            <v>56.19</v>
          </cell>
        </row>
        <row r="753">
          <cell r="A753">
            <v>48829253</v>
          </cell>
          <cell r="B753">
            <v>335.94</v>
          </cell>
        </row>
        <row r="754">
          <cell r="A754">
            <v>48829254</v>
          </cell>
          <cell r="B754">
            <v>361.04</v>
          </cell>
        </row>
        <row r="755">
          <cell r="A755">
            <v>48829255</v>
          </cell>
          <cell r="B755">
            <v>426.79</v>
          </cell>
        </row>
        <row r="756">
          <cell r="A756">
            <v>1056711</v>
          </cell>
          <cell r="B756">
            <v>227.15</v>
          </cell>
        </row>
        <row r="757">
          <cell r="A757">
            <v>1056712</v>
          </cell>
          <cell r="B757">
            <v>248.65</v>
          </cell>
        </row>
        <row r="758">
          <cell r="A758">
            <v>1056713</v>
          </cell>
          <cell r="B758">
            <v>314.41000000000003</v>
          </cell>
        </row>
        <row r="759">
          <cell r="A759">
            <v>48816272</v>
          </cell>
          <cell r="B759">
            <v>212.81</v>
          </cell>
        </row>
        <row r="760">
          <cell r="A760">
            <v>48816273</v>
          </cell>
          <cell r="B760">
            <v>239.1</v>
          </cell>
        </row>
        <row r="761">
          <cell r="A761">
            <v>48816274</v>
          </cell>
          <cell r="B761">
            <v>297.68</v>
          </cell>
        </row>
        <row r="762">
          <cell r="A762">
            <v>1056707</v>
          </cell>
          <cell r="B762">
            <v>121.93</v>
          </cell>
        </row>
        <row r="763">
          <cell r="A763">
            <v>1056708</v>
          </cell>
          <cell r="B763">
            <v>151.83000000000001</v>
          </cell>
        </row>
        <row r="764">
          <cell r="A764">
            <v>1056709</v>
          </cell>
          <cell r="B764">
            <v>162.6</v>
          </cell>
        </row>
        <row r="765">
          <cell r="A765">
            <v>39021944</v>
          </cell>
          <cell r="B765">
            <v>5.98</v>
          </cell>
        </row>
        <row r="766">
          <cell r="A766">
            <v>19551115</v>
          </cell>
          <cell r="B766">
            <v>5.98</v>
          </cell>
        </row>
        <row r="767">
          <cell r="A767">
            <v>19551100</v>
          </cell>
          <cell r="B767">
            <v>5.98</v>
          </cell>
        </row>
        <row r="768">
          <cell r="A768">
            <v>19551113</v>
          </cell>
          <cell r="B768">
            <v>5.98</v>
          </cell>
        </row>
        <row r="769">
          <cell r="A769">
            <v>19551114</v>
          </cell>
          <cell r="B769">
            <v>10.75</v>
          </cell>
        </row>
        <row r="770">
          <cell r="A770">
            <v>19551116</v>
          </cell>
          <cell r="B770">
            <v>10.75</v>
          </cell>
        </row>
        <row r="771">
          <cell r="A771">
            <v>18076348</v>
          </cell>
          <cell r="B771">
            <v>28.68</v>
          </cell>
        </row>
        <row r="772">
          <cell r="A772">
            <v>19551353</v>
          </cell>
          <cell r="B772">
            <v>86.08</v>
          </cell>
        </row>
        <row r="773">
          <cell r="A773">
            <v>39021943</v>
          </cell>
          <cell r="B773">
            <v>138.68</v>
          </cell>
        </row>
        <row r="774">
          <cell r="A774">
            <v>520485</v>
          </cell>
          <cell r="B774">
            <v>168.57</v>
          </cell>
        </row>
        <row r="775">
          <cell r="A775">
            <v>19555829</v>
          </cell>
          <cell r="B775">
            <v>875.1</v>
          </cell>
        </row>
        <row r="776">
          <cell r="A776">
            <v>19555833</v>
          </cell>
          <cell r="B776">
            <v>1276.8</v>
          </cell>
        </row>
        <row r="777">
          <cell r="A777">
            <v>19550243</v>
          </cell>
          <cell r="B777">
            <v>212.58</v>
          </cell>
        </row>
        <row r="778">
          <cell r="A778">
            <v>19556023</v>
          </cell>
          <cell r="B778">
            <v>875.1</v>
          </cell>
        </row>
        <row r="779">
          <cell r="A779">
            <v>19556024</v>
          </cell>
          <cell r="B779">
            <v>1276.8</v>
          </cell>
        </row>
        <row r="780">
          <cell r="A780">
            <v>19203128</v>
          </cell>
          <cell r="B780">
            <v>223.55</v>
          </cell>
        </row>
        <row r="781">
          <cell r="A781">
            <v>19203129</v>
          </cell>
          <cell r="B781">
            <v>384.94</v>
          </cell>
        </row>
        <row r="782">
          <cell r="A782">
            <v>19203127</v>
          </cell>
          <cell r="B782">
            <v>188.89</v>
          </cell>
        </row>
        <row r="783">
          <cell r="A783">
            <v>19140910</v>
          </cell>
          <cell r="B783">
            <v>161.38999999999999</v>
          </cell>
        </row>
        <row r="784">
          <cell r="A784">
            <v>19133943</v>
          </cell>
          <cell r="B784">
            <v>266.60000000000002</v>
          </cell>
        </row>
        <row r="785">
          <cell r="A785">
            <v>19134197</v>
          </cell>
          <cell r="B785">
            <v>338.41</v>
          </cell>
        </row>
        <row r="786">
          <cell r="A786">
            <v>19141748</v>
          </cell>
          <cell r="B786">
            <v>81.3</v>
          </cell>
        </row>
        <row r="787">
          <cell r="A787">
            <v>19550242</v>
          </cell>
          <cell r="B787">
            <v>160.19</v>
          </cell>
        </row>
        <row r="788">
          <cell r="A788">
            <v>19143337</v>
          </cell>
          <cell r="B788">
            <v>540.30999999999995</v>
          </cell>
        </row>
        <row r="789">
          <cell r="A789">
            <v>19070091</v>
          </cell>
          <cell r="B789">
            <v>568.73</v>
          </cell>
        </row>
        <row r="790">
          <cell r="A790">
            <v>19070092</v>
          </cell>
          <cell r="B790">
            <v>568.73</v>
          </cell>
        </row>
        <row r="791">
          <cell r="A791">
            <v>19070093</v>
          </cell>
          <cell r="B791">
            <v>568.73</v>
          </cell>
        </row>
        <row r="792">
          <cell r="A792">
            <v>19070094</v>
          </cell>
          <cell r="B792">
            <v>567.86</v>
          </cell>
        </row>
        <row r="793">
          <cell r="A793">
            <v>19071259</v>
          </cell>
          <cell r="B793">
            <v>1301.9000000000001</v>
          </cell>
        </row>
        <row r="794">
          <cell r="A794">
            <v>19070152</v>
          </cell>
          <cell r="B794">
            <v>1301.9000000000001</v>
          </cell>
        </row>
        <row r="795">
          <cell r="A795">
            <v>19070160</v>
          </cell>
          <cell r="B795">
            <v>1337.75</v>
          </cell>
        </row>
        <row r="796">
          <cell r="A796">
            <v>1111397</v>
          </cell>
          <cell r="B796">
            <v>912.71</v>
          </cell>
        </row>
        <row r="797">
          <cell r="A797">
            <v>1111455</v>
          </cell>
          <cell r="B797">
            <v>1452.32</v>
          </cell>
        </row>
        <row r="798">
          <cell r="A798">
            <v>1111456</v>
          </cell>
          <cell r="B798">
            <v>1452.49</v>
          </cell>
        </row>
        <row r="799">
          <cell r="A799">
            <v>1111457</v>
          </cell>
          <cell r="B799">
            <v>1616.83</v>
          </cell>
        </row>
        <row r="800">
          <cell r="A800">
            <v>19070147</v>
          </cell>
          <cell r="B800">
            <v>1062.01</v>
          </cell>
        </row>
        <row r="801">
          <cell r="A801">
            <v>19070148</v>
          </cell>
          <cell r="B801">
            <v>1062.01</v>
          </cell>
        </row>
        <row r="802">
          <cell r="A802">
            <v>19070149</v>
          </cell>
          <cell r="B802">
            <v>1062.01</v>
          </cell>
        </row>
        <row r="803">
          <cell r="A803">
            <v>19070150</v>
          </cell>
          <cell r="B803">
            <v>1061.5999999999999</v>
          </cell>
        </row>
        <row r="804">
          <cell r="A804">
            <v>19071257</v>
          </cell>
          <cell r="B804">
            <v>2902.67</v>
          </cell>
        </row>
        <row r="805">
          <cell r="A805">
            <v>19070153</v>
          </cell>
          <cell r="B805">
            <v>2902.67</v>
          </cell>
        </row>
        <row r="806">
          <cell r="A806">
            <v>19070161</v>
          </cell>
          <cell r="B806">
            <v>2902.67</v>
          </cell>
        </row>
        <row r="807">
          <cell r="A807">
            <v>1111401</v>
          </cell>
          <cell r="B807">
            <v>1251.73</v>
          </cell>
        </row>
        <row r="808">
          <cell r="A808">
            <v>1111472</v>
          </cell>
          <cell r="B808">
            <v>1912.37</v>
          </cell>
        </row>
        <row r="809">
          <cell r="A809">
            <v>1111473</v>
          </cell>
          <cell r="B809">
            <v>2068.83</v>
          </cell>
        </row>
        <row r="810">
          <cell r="A810">
            <v>1111475</v>
          </cell>
          <cell r="B810">
            <v>2120.9899999999998</v>
          </cell>
        </row>
        <row r="811">
          <cell r="A811">
            <v>29128010</v>
          </cell>
          <cell r="B811">
            <v>838.04</v>
          </cell>
        </row>
        <row r="812">
          <cell r="A812">
            <v>29128015</v>
          </cell>
          <cell r="B812">
            <v>838.04</v>
          </cell>
        </row>
        <row r="813">
          <cell r="A813">
            <v>29128020</v>
          </cell>
          <cell r="B813">
            <v>838.04</v>
          </cell>
        </row>
        <row r="814">
          <cell r="A814">
            <v>29128025</v>
          </cell>
          <cell r="B814">
            <v>838.04</v>
          </cell>
        </row>
        <row r="815">
          <cell r="A815">
            <v>29128104</v>
          </cell>
          <cell r="B815">
            <v>1488.39</v>
          </cell>
        </row>
        <row r="816">
          <cell r="A816">
            <v>29128105</v>
          </cell>
          <cell r="B816">
            <v>1488.39</v>
          </cell>
        </row>
        <row r="817">
          <cell r="A817">
            <v>29128110</v>
          </cell>
          <cell r="B817">
            <v>1488.39</v>
          </cell>
        </row>
        <row r="818">
          <cell r="A818">
            <v>1118724</v>
          </cell>
          <cell r="B818">
            <v>1626.24</v>
          </cell>
        </row>
        <row r="819">
          <cell r="A819">
            <v>29128055</v>
          </cell>
          <cell r="B819">
            <v>1555.35</v>
          </cell>
        </row>
        <row r="820">
          <cell r="A820">
            <v>29128060</v>
          </cell>
          <cell r="B820">
            <v>1555.35</v>
          </cell>
        </row>
        <row r="821">
          <cell r="A821">
            <v>29128065</v>
          </cell>
          <cell r="B821">
            <v>1555.35</v>
          </cell>
        </row>
        <row r="822">
          <cell r="A822">
            <v>29128070</v>
          </cell>
          <cell r="B822">
            <v>1555.35</v>
          </cell>
        </row>
        <row r="823">
          <cell r="A823">
            <v>29128144</v>
          </cell>
          <cell r="B823">
            <v>3043.74</v>
          </cell>
        </row>
        <row r="824">
          <cell r="A824">
            <v>29128145</v>
          </cell>
          <cell r="B824">
            <v>3043.74</v>
          </cell>
        </row>
        <row r="825">
          <cell r="A825">
            <v>29128150</v>
          </cell>
          <cell r="B825">
            <v>3043.74</v>
          </cell>
        </row>
        <row r="826">
          <cell r="A826">
            <v>1121918</v>
          </cell>
          <cell r="B826">
            <v>2282.7199999999998</v>
          </cell>
        </row>
        <row r="827">
          <cell r="A827">
            <v>11037742</v>
          </cell>
          <cell r="B827">
            <v>41.85</v>
          </cell>
        </row>
        <row r="828">
          <cell r="A828">
            <v>11037743</v>
          </cell>
          <cell r="B828">
            <v>47.58</v>
          </cell>
        </row>
        <row r="829">
          <cell r="A829">
            <v>11037744</v>
          </cell>
          <cell r="B829">
            <v>60.35</v>
          </cell>
        </row>
        <row r="830">
          <cell r="A830">
            <v>11037745</v>
          </cell>
          <cell r="B830">
            <v>75.319999999999993</v>
          </cell>
        </row>
        <row r="831">
          <cell r="A831">
            <v>11037746</v>
          </cell>
          <cell r="B831">
            <v>88.21</v>
          </cell>
        </row>
        <row r="832">
          <cell r="A832">
            <v>11037747</v>
          </cell>
          <cell r="B832">
            <v>105.22</v>
          </cell>
        </row>
        <row r="833">
          <cell r="A833">
            <v>11037748</v>
          </cell>
          <cell r="B833">
            <v>121.93</v>
          </cell>
        </row>
        <row r="834">
          <cell r="A834">
            <v>29128401</v>
          </cell>
          <cell r="B834">
            <v>69.08</v>
          </cell>
        </row>
        <row r="835">
          <cell r="A835">
            <v>29128422</v>
          </cell>
          <cell r="B835">
            <v>198.45</v>
          </cell>
        </row>
        <row r="836">
          <cell r="A836">
            <v>29128442</v>
          </cell>
          <cell r="B836">
            <v>350.29</v>
          </cell>
        </row>
        <row r="837">
          <cell r="A837">
            <v>530561</v>
          </cell>
          <cell r="B837">
            <v>542.74</v>
          </cell>
        </row>
        <row r="838">
          <cell r="A838">
            <v>1086547</v>
          </cell>
          <cell r="B838">
            <v>57.39</v>
          </cell>
        </row>
        <row r="839">
          <cell r="A839">
            <v>19072366</v>
          </cell>
          <cell r="B839">
            <v>47.82</v>
          </cell>
        </row>
        <row r="840">
          <cell r="A840">
            <v>1066347</v>
          </cell>
          <cell r="B840">
            <v>187.7</v>
          </cell>
        </row>
        <row r="841">
          <cell r="A841">
            <v>117198</v>
          </cell>
          <cell r="B841">
            <v>125.51</v>
          </cell>
        </row>
        <row r="842">
          <cell r="A842">
            <v>1025838</v>
          </cell>
          <cell r="B842">
            <v>181.71</v>
          </cell>
        </row>
        <row r="843">
          <cell r="A843">
            <v>1040217</v>
          </cell>
          <cell r="B843">
            <v>59.77</v>
          </cell>
        </row>
        <row r="844">
          <cell r="A844">
            <v>11303923</v>
          </cell>
          <cell r="B844">
            <v>84.88</v>
          </cell>
        </row>
        <row r="845">
          <cell r="A845">
            <v>11190765</v>
          </cell>
          <cell r="B845">
            <v>221.17</v>
          </cell>
        </row>
        <row r="846">
          <cell r="A846">
            <v>11190764</v>
          </cell>
          <cell r="B846">
            <v>221.17</v>
          </cell>
        </row>
        <row r="847">
          <cell r="A847">
            <v>11190763</v>
          </cell>
          <cell r="B847">
            <v>221.17</v>
          </cell>
        </row>
        <row r="848">
          <cell r="A848">
            <v>11190762</v>
          </cell>
          <cell r="B848">
            <v>221.17</v>
          </cell>
        </row>
        <row r="849">
          <cell r="A849">
            <v>11190761</v>
          </cell>
          <cell r="B849">
            <v>221.17</v>
          </cell>
        </row>
        <row r="850">
          <cell r="A850">
            <v>19071491</v>
          </cell>
          <cell r="B850">
            <v>154.19999999999999</v>
          </cell>
        </row>
        <row r="851">
          <cell r="A851">
            <v>19071492</v>
          </cell>
          <cell r="B851">
            <v>154.19999999999999</v>
          </cell>
        </row>
        <row r="852">
          <cell r="A852">
            <v>19071493</v>
          </cell>
          <cell r="B852">
            <v>154.19999999999999</v>
          </cell>
        </row>
        <row r="853">
          <cell r="A853">
            <v>19071494</v>
          </cell>
          <cell r="B853">
            <v>154.19999999999999</v>
          </cell>
        </row>
        <row r="854">
          <cell r="A854">
            <v>19071495</v>
          </cell>
          <cell r="B854">
            <v>154.19999999999999</v>
          </cell>
        </row>
        <row r="855">
          <cell r="A855">
            <v>1035729</v>
          </cell>
          <cell r="B855">
            <v>90.62</v>
          </cell>
        </row>
        <row r="856">
          <cell r="A856">
            <v>19074169</v>
          </cell>
          <cell r="B856">
            <v>28.82</v>
          </cell>
        </row>
        <row r="857">
          <cell r="A857">
            <v>1069615</v>
          </cell>
          <cell r="B857">
            <v>185.05</v>
          </cell>
        </row>
        <row r="858">
          <cell r="A858">
            <v>1117147</v>
          </cell>
          <cell r="B858">
            <v>362.92</v>
          </cell>
        </row>
        <row r="859">
          <cell r="A859">
            <v>19071718</v>
          </cell>
          <cell r="B859">
            <v>974.33</v>
          </cell>
        </row>
        <row r="860">
          <cell r="A860">
            <v>19071719</v>
          </cell>
          <cell r="B860">
            <v>988.68</v>
          </cell>
        </row>
        <row r="861">
          <cell r="A861">
            <v>19071720</v>
          </cell>
          <cell r="B861">
            <v>1018.55</v>
          </cell>
        </row>
        <row r="862">
          <cell r="A862">
            <v>19071995</v>
          </cell>
          <cell r="B862">
            <v>1146.48</v>
          </cell>
        </row>
        <row r="863">
          <cell r="A863">
            <v>19071996</v>
          </cell>
          <cell r="B863">
            <v>1171.58</v>
          </cell>
        </row>
        <row r="864">
          <cell r="A864">
            <v>19071997</v>
          </cell>
          <cell r="B864">
            <v>1226.58</v>
          </cell>
        </row>
        <row r="865">
          <cell r="A865">
            <v>1057976</v>
          </cell>
          <cell r="B865">
            <v>625.23</v>
          </cell>
        </row>
        <row r="866">
          <cell r="A866">
            <v>1057977</v>
          </cell>
          <cell r="B866">
            <v>639.59</v>
          </cell>
        </row>
        <row r="867">
          <cell r="A867">
            <v>1057978</v>
          </cell>
          <cell r="B867">
            <v>670.68</v>
          </cell>
        </row>
        <row r="868">
          <cell r="A868">
            <v>19071843</v>
          </cell>
          <cell r="B868">
            <v>1396.34</v>
          </cell>
        </row>
        <row r="869">
          <cell r="A869">
            <v>19071844</v>
          </cell>
          <cell r="B869">
            <v>1408.29</v>
          </cell>
        </row>
        <row r="870">
          <cell r="A870">
            <v>19071845</v>
          </cell>
          <cell r="B870">
            <v>1440.58</v>
          </cell>
        </row>
        <row r="871">
          <cell r="A871">
            <v>19071998</v>
          </cell>
          <cell r="B871">
            <v>1552.93</v>
          </cell>
        </row>
        <row r="872">
          <cell r="A872">
            <v>19071999</v>
          </cell>
          <cell r="B872">
            <v>1578.05</v>
          </cell>
        </row>
        <row r="873">
          <cell r="A873">
            <v>19072000</v>
          </cell>
          <cell r="B873">
            <v>1634.24</v>
          </cell>
        </row>
        <row r="874">
          <cell r="A874">
            <v>1119203</v>
          </cell>
          <cell r="B874">
            <v>1399.58</v>
          </cell>
        </row>
        <row r="875">
          <cell r="A875">
            <v>1119204</v>
          </cell>
          <cell r="B875">
            <v>1399.58</v>
          </cell>
        </row>
        <row r="876">
          <cell r="A876">
            <v>1119205</v>
          </cell>
          <cell r="B876">
            <v>1624.91</v>
          </cell>
        </row>
        <row r="877">
          <cell r="A877">
            <v>1119206</v>
          </cell>
          <cell r="B877">
            <v>1624.91</v>
          </cell>
        </row>
        <row r="878">
          <cell r="A878">
            <v>1118726</v>
          </cell>
          <cell r="B878">
            <v>1033.47</v>
          </cell>
        </row>
        <row r="879">
          <cell r="A879">
            <v>1118727</v>
          </cell>
          <cell r="B879">
            <v>1033.47</v>
          </cell>
        </row>
        <row r="880">
          <cell r="A880">
            <v>1118729</v>
          </cell>
          <cell r="B880">
            <v>1369.72</v>
          </cell>
        </row>
        <row r="881">
          <cell r="A881">
            <v>19071721</v>
          </cell>
          <cell r="B881">
            <v>87.28</v>
          </cell>
        </row>
        <row r="882">
          <cell r="A882">
            <v>1055725</v>
          </cell>
          <cell r="B882">
            <v>92.05</v>
          </cell>
        </row>
        <row r="883">
          <cell r="A883">
            <v>11301318</v>
          </cell>
          <cell r="B883">
            <v>427.99</v>
          </cell>
        </row>
        <row r="884">
          <cell r="A884">
            <v>19071721</v>
          </cell>
          <cell r="B884">
            <v>87.28</v>
          </cell>
        </row>
        <row r="885">
          <cell r="A885">
            <v>19071837</v>
          </cell>
          <cell r="B885">
            <v>123.14</v>
          </cell>
        </row>
        <row r="886">
          <cell r="A886">
            <v>19071722</v>
          </cell>
          <cell r="B886">
            <v>276.17</v>
          </cell>
        </row>
        <row r="887">
          <cell r="A887">
            <v>1118748</v>
          </cell>
          <cell r="B887">
            <v>44.13</v>
          </cell>
        </row>
        <row r="888">
          <cell r="A888">
            <v>1118747</v>
          </cell>
          <cell r="B888">
            <v>320.69</v>
          </cell>
        </row>
        <row r="889">
          <cell r="A889">
            <v>1118746</v>
          </cell>
          <cell r="B889">
            <v>210.79</v>
          </cell>
        </row>
        <row r="890">
          <cell r="A890">
            <v>1111935</v>
          </cell>
          <cell r="B890">
            <v>76.37</v>
          </cell>
        </row>
        <row r="891">
          <cell r="A891">
            <v>19070614</v>
          </cell>
          <cell r="B891">
            <v>137.21</v>
          </cell>
        </row>
        <row r="892">
          <cell r="A892">
            <v>1056355</v>
          </cell>
          <cell r="B892">
            <v>148.22999999999999</v>
          </cell>
        </row>
        <row r="893">
          <cell r="A893">
            <v>1086547</v>
          </cell>
          <cell r="B893">
            <v>57.39</v>
          </cell>
        </row>
        <row r="894">
          <cell r="A894">
            <v>1073476</v>
          </cell>
          <cell r="B894">
            <v>253.44</v>
          </cell>
        </row>
        <row r="895">
          <cell r="A895">
            <v>47121210</v>
          </cell>
          <cell r="B895">
            <v>199.98</v>
          </cell>
        </row>
        <row r="896">
          <cell r="A896">
            <v>29127257</v>
          </cell>
          <cell r="B896">
            <v>521.25</v>
          </cell>
        </row>
        <row r="897">
          <cell r="A897">
            <v>29127258</v>
          </cell>
          <cell r="B897">
            <v>822.51</v>
          </cell>
        </row>
        <row r="898">
          <cell r="A898">
            <v>29127250</v>
          </cell>
          <cell r="B898">
            <v>1225.3800000000001</v>
          </cell>
        </row>
        <row r="899">
          <cell r="A899">
            <v>29117888</v>
          </cell>
          <cell r="B899">
            <v>954.78</v>
          </cell>
        </row>
        <row r="900">
          <cell r="A900">
            <v>29127400</v>
          </cell>
          <cell r="B900">
            <v>1196.69</v>
          </cell>
        </row>
        <row r="901">
          <cell r="A901">
            <v>29127251</v>
          </cell>
          <cell r="B901">
            <v>1225.3800000000001</v>
          </cell>
        </row>
        <row r="902">
          <cell r="A902">
            <v>29117890</v>
          </cell>
          <cell r="B902">
            <v>954.78</v>
          </cell>
        </row>
        <row r="903">
          <cell r="A903">
            <v>29127401</v>
          </cell>
          <cell r="B903">
            <v>1196.69</v>
          </cell>
        </row>
        <row r="904">
          <cell r="A904">
            <v>18040642</v>
          </cell>
          <cell r="B904">
            <v>203.24</v>
          </cell>
        </row>
        <row r="905">
          <cell r="A905">
            <v>29127263</v>
          </cell>
          <cell r="B905">
            <v>3006.66</v>
          </cell>
        </row>
        <row r="906">
          <cell r="A906">
            <v>29127264</v>
          </cell>
          <cell r="B906">
            <v>2547.6</v>
          </cell>
        </row>
        <row r="907">
          <cell r="A907">
            <v>29127265</v>
          </cell>
          <cell r="B907">
            <v>3017.42</v>
          </cell>
        </row>
        <row r="908">
          <cell r="A908">
            <v>29127266</v>
          </cell>
          <cell r="B908">
            <v>3006.66</v>
          </cell>
        </row>
        <row r="909">
          <cell r="A909">
            <v>29127267</v>
          </cell>
          <cell r="B909">
            <v>2547.6</v>
          </cell>
        </row>
        <row r="910">
          <cell r="A910">
            <v>29127268</v>
          </cell>
          <cell r="B910">
            <v>3017.42</v>
          </cell>
        </row>
        <row r="911">
          <cell r="A911">
            <v>18040642</v>
          </cell>
          <cell r="B911">
            <v>203.24</v>
          </cell>
        </row>
        <row r="912">
          <cell r="A912">
            <v>19072184</v>
          </cell>
          <cell r="B912">
            <v>680.23</v>
          </cell>
        </row>
        <row r="913">
          <cell r="A913">
            <v>19137112</v>
          </cell>
          <cell r="B913">
            <v>527.22</v>
          </cell>
        </row>
        <row r="914">
          <cell r="A914">
            <v>19137113</v>
          </cell>
          <cell r="B914">
            <v>193.68</v>
          </cell>
        </row>
        <row r="915">
          <cell r="A915">
            <v>19137115</v>
          </cell>
          <cell r="B915">
            <v>193.68</v>
          </cell>
        </row>
        <row r="916">
          <cell r="A916">
            <v>18040343</v>
          </cell>
          <cell r="B916">
            <v>20.32</v>
          </cell>
        </row>
        <row r="917">
          <cell r="A917">
            <v>11035624</v>
          </cell>
          <cell r="B917">
            <v>20.32</v>
          </cell>
        </row>
        <row r="918">
          <cell r="A918">
            <v>18040642</v>
          </cell>
          <cell r="B918">
            <v>203.24</v>
          </cell>
        </row>
        <row r="919">
          <cell r="A919">
            <v>40981752</v>
          </cell>
          <cell r="B919">
            <v>216.51</v>
          </cell>
        </row>
        <row r="920">
          <cell r="A920">
            <v>40984251</v>
          </cell>
          <cell r="B920">
            <v>484.16</v>
          </cell>
        </row>
        <row r="921">
          <cell r="A921">
            <v>40981754</v>
          </cell>
          <cell r="B921">
            <v>455.48</v>
          </cell>
        </row>
        <row r="922">
          <cell r="A922">
            <v>19072185</v>
          </cell>
          <cell r="B922">
            <v>725.66</v>
          </cell>
        </row>
        <row r="923">
          <cell r="A923">
            <v>19072016</v>
          </cell>
          <cell r="B923">
            <v>567.86</v>
          </cell>
        </row>
        <row r="924">
          <cell r="A924">
            <v>19137113</v>
          </cell>
          <cell r="B924">
            <v>193.68</v>
          </cell>
        </row>
        <row r="925">
          <cell r="A925">
            <v>19137115</v>
          </cell>
          <cell r="B925">
            <v>193.68</v>
          </cell>
        </row>
        <row r="926">
          <cell r="A926">
            <v>19072017</v>
          </cell>
          <cell r="B926">
            <v>58.56</v>
          </cell>
        </row>
        <row r="927">
          <cell r="A927">
            <v>19072018</v>
          </cell>
          <cell r="B927">
            <v>50.21</v>
          </cell>
        </row>
        <row r="928">
          <cell r="A928">
            <v>19072019</v>
          </cell>
          <cell r="B928">
            <v>35.86</v>
          </cell>
        </row>
        <row r="929">
          <cell r="A929">
            <v>18040642</v>
          </cell>
          <cell r="B929">
            <v>203.24</v>
          </cell>
        </row>
        <row r="930">
          <cell r="A930">
            <v>29128650</v>
          </cell>
          <cell r="B930">
            <v>526.42999999999995</v>
          </cell>
        </row>
        <row r="931">
          <cell r="A931">
            <v>29128742</v>
          </cell>
          <cell r="B931">
            <v>567.87</v>
          </cell>
        </row>
        <row r="932">
          <cell r="A932">
            <v>29128653</v>
          </cell>
          <cell r="B932">
            <v>567.87</v>
          </cell>
        </row>
        <row r="933">
          <cell r="A933">
            <v>29128743</v>
          </cell>
          <cell r="B933">
            <v>606.87</v>
          </cell>
        </row>
        <row r="934">
          <cell r="A934">
            <v>29128656</v>
          </cell>
          <cell r="B934">
            <v>806.71</v>
          </cell>
        </row>
        <row r="935">
          <cell r="A935">
            <v>29128744</v>
          </cell>
          <cell r="B935">
            <v>822.55</v>
          </cell>
        </row>
        <row r="936">
          <cell r="A936">
            <v>29128659</v>
          </cell>
          <cell r="B936">
            <v>1111.3499999999999</v>
          </cell>
        </row>
        <row r="937">
          <cell r="A937">
            <v>29128745</v>
          </cell>
          <cell r="B937">
            <v>1123.55</v>
          </cell>
        </row>
        <row r="938">
          <cell r="A938">
            <v>29128746</v>
          </cell>
          <cell r="B938">
            <v>1453.78</v>
          </cell>
        </row>
        <row r="939">
          <cell r="A939">
            <v>29128663</v>
          </cell>
          <cell r="B939">
            <v>582.49</v>
          </cell>
        </row>
        <row r="940">
          <cell r="A940">
            <v>29128747</v>
          </cell>
          <cell r="B940">
            <v>623.91999999999996</v>
          </cell>
        </row>
        <row r="941">
          <cell r="A941">
            <v>29128666</v>
          </cell>
          <cell r="B941">
            <v>623.91999999999996</v>
          </cell>
        </row>
        <row r="942">
          <cell r="A942">
            <v>29128748</v>
          </cell>
          <cell r="B942">
            <v>662.91</v>
          </cell>
        </row>
        <row r="943">
          <cell r="A943">
            <v>29128669</v>
          </cell>
          <cell r="B943">
            <v>862.77</v>
          </cell>
        </row>
        <row r="944">
          <cell r="A944">
            <v>29128749</v>
          </cell>
          <cell r="B944">
            <v>878.6</v>
          </cell>
        </row>
        <row r="945">
          <cell r="A945">
            <v>29128672</v>
          </cell>
          <cell r="B945">
            <v>1167.42</v>
          </cell>
        </row>
        <row r="946">
          <cell r="A946">
            <v>29128750</v>
          </cell>
          <cell r="B946">
            <v>1179.5999999999999</v>
          </cell>
        </row>
        <row r="947">
          <cell r="A947">
            <v>29128751</v>
          </cell>
          <cell r="B947">
            <v>1509.83</v>
          </cell>
        </row>
        <row r="948">
          <cell r="A948">
            <v>29128676</v>
          </cell>
          <cell r="B948">
            <v>578.84</v>
          </cell>
        </row>
        <row r="949">
          <cell r="A949">
            <v>29128752</v>
          </cell>
          <cell r="B949">
            <v>659.27</v>
          </cell>
        </row>
        <row r="950">
          <cell r="A950">
            <v>29128679</v>
          </cell>
          <cell r="B950">
            <v>1028.48</v>
          </cell>
        </row>
        <row r="951">
          <cell r="A951">
            <v>29128753</v>
          </cell>
          <cell r="B951">
            <v>1018.75</v>
          </cell>
        </row>
        <row r="952">
          <cell r="A952">
            <v>29128754</v>
          </cell>
          <cell r="B952">
            <v>1735.27</v>
          </cell>
        </row>
        <row r="953">
          <cell r="A953">
            <v>29131500</v>
          </cell>
          <cell r="B953">
            <v>1925.59</v>
          </cell>
        </row>
        <row r="954">
          <cell r="A954">
            <v>29131501</v>
          </cell>
          <cell r="B954">
            <v>1996.83</v>
          </cell>
        </row>
        <row r="955">
          <cell r="A955">
            <v>29131504</v>
          </cell>
          <cell r="B955">
            <v>2050.77</v>
          </cell>
        </row>
        <row r="956">
          <cell r="A956">
            <v>29131505</v>
          </cell>
          <cell r="B956">
            <v>2094.5300000000002</v>
          </cell>
        </row>
        <row r="957">
          <cell r="A957">
            <v>29131506</v>
          </cell>
          <cell r="B957">
            <v>2079.2600000000002</v>
          </cell>
        </row>
        <row r="958">
          <cell r="A958">
            <v>29131507</v>
          </cell>
          <cell r="B958">
            <v>2147.4499999999998</v>
          </cell>
        </row>
        <row r="959">
          <cell r="A959">
            <v>29131508</v>
          </cell>
          <cell r="B959">
            <v>2947.4005499999998</v>
          </cell>
        </row>
        <row r="960">
          <cell r="A960">
            <v>29131509</v>
          </cell>
          <cell r="B960">
            <v>3351.4438499999997</v>
          </cell>
        </row>
        <row r="961">
          <cell r="A961">
            <v>29131510</v>
          </cell>
          <cell r="B961">
            <v>3163.1669999999995</v>
          </cell>
        </row>
        <row r="962">
          <cell r="A962">
            <v>29131511</v>
          </cell>
          <cell r="B962">
            <v>3667.9675499999994</v>
          </cell>
        </row>
        <row r="963">
          <cell r="A963">
            <v>29131520</v>
          </cell>
          <cell r="B963">
            <v>4539.1580999999996</v>
          </cell>
        </row>
        <row r="964">
          <cell r="A964">
            <v>29131521</v>
          </cell>
          <cell r="B964">
            <v>5373.72</v>
          </cell>
        </row>
        <row r="965">
          <cell r="A965">
            <v>29131522</v>
          </cell>
          <cell r="B965">
            <v>5055.1573499999995</v>
          </cell>
        </row>
        <row r="966">
          <cell r="A966">
            <v>29131523</v>
          </cell>
          <cell r="B966">
            <v>5229.1925999999994</v>
          </cell>
        </row>
        <row r="967">
          <cell r="A967">
            <v>29131524</v>
          </cell>
          <cell r="B967">
            <v>7211.7661499999995</v>
          </cell>
        </row>
        <row r="968">
          <cell r="A968">
            <v>29131525</v>
          </cell>
          <cell r="B968">
            <v>7820.3875499999995</v>
          </cell>
        </row>
        <row r="969">
          <cell r="A969">
            <v>29131526</v>
          </cell>
          <cell r="B969">
            <v>7726.7510999999995</v>
          </cell>
        </row>
        <row r="970">
          <cell r="A970">
            <v>29131527</v>
          </cell>
          <cell r="B970">
            <v>8127.7411499999998</v>
          </cell>
        </row>
        <row r="971">
          <cell r="A971">
            <v>29127657</v>
          </cell>
          <cell r="B971">
            <v>4119.66</v>
          </cell>
        </row>
        <row r="972">
          <cell r="A972">
            <v>29127656</v>
          </cell>
          <cell r="B972">
            <v>4253.57</v>
          </cell>
        </row>
        <row r="973">
          <cell r="A973">
            <v>29127667</v>
          </cell>
          <cell r="B973">
            <v>9113.25</v>
          </cell>
        </row>
        <row r="974">
          <cell r="A974">
            <v>29127865</v>
          </cell>
          <cell r="B974">
            <v>10435.459999999999</v>
          </cell>
        </row>
        <row r="975">
          <cell r="A975">
            <v>29131550</v>
          </cell>
          <cell r="B975">
            <v>2920.9355999999998</v>
          </cell>
        </row>
        <row r="976">
          <cell r="A976">
            <v>29131551</v>
          </cell>
          <cell r="B976">
            <v>4437.3865499999993</v>
          </cell>
        </row>
        <row r="977">
          <cell r="A977">
            <v>29131552</v>
          </cell>
          <cell r="B977">
            <v>3643.5415499999995</v>
          </cell>
        </row>
        <row r="978">
          <cell r="A978">
            <v>29131553</v>
          </cell>
          <cell r="B978">
            <v>4783.4180999999999</v>
          </cell>
        </row>
        <row r="979">
          <cell r="A979">
            <v>29131554</v>
          </cell>
          <cell r="B979">
            <v>4447.5605999999998</v>
          </cell>
        </row>
        <row r="980">
          <cell r="A980">
            <v>29131555</v>
          </cell>
          <cell r="B980">
            <v>5383.8940499999999</v>
          </cell>
        </row>
        <row r="981">
          <cell r="A981">
            <v>29131556</v>
          </cell>
          <cell r="B981">
            <v>3615.1514999999999</v>
          </cell>
        </row>
        <row r="982">
          <cell r="A982">
            <v>29131557</v>
          </cell>
          <cell r="B982">
            <v>8117.5671000000002</v>
          </cell>
        </row>
        <row r="983">
          <cell r="A983">
            <v>29131560</v>
          </cell>
          <cell r="B983">
            <v>6340.5755999999992</v>
          </cell>
        </row>
        <row r="984">
          <cell r="A984">
            <v>29131561</v>
          </cell>
          <cell r="B984">
            <v>8203.0580999999984</v>
          </cell>
        </row>
        <row r="985">
          <cell r="A985">
            <v>29131564</v>
          </cell>
          <cell r="B985">
            <v>8317.0426499999994</v>
          </cell>
        </row>
        <row r="986">
          <cell r="A986">
            <v>29131565</v>
          </cell>
          <cell r="B986">
            <v>10004.4756</v>
          </cell>
        </row>
        <row r="987">
          <cell r="A987">
            <v>29131558</v>
          </cell>
          <cell r="B987">
            <v>9027.4355999999989</v>
          </cell>
        </row>
        <row r="988">
          <cell r="A988">
            <v>29131559</v>
          </cell>
          <cell r="B988">
            <v>10258.90965</v>
          </cell>
        </row>
        <row r="989">
          <cell r="A989">
            <v>29131562</v>
          </cell>
          <cell r="B989">
            <v>9103.76685</v>
          </cell>
        </row>
        <row r="990">
          <cell r="A990">
            <v>29131563</v>
          </cell>
          <cell r="B990">
            <v>12080.685599999999</v>
          </cell>
        </row>
        <row r="991">
          <cell r="A991">
            <v>29131566</v>
          </cell>
          <cell r="B991">
            <v>10871.598599999998</v>
          </cell>
        </row>
        <row r="992">
          <cell r="A992">
            <v>29131567</v>
          </cell>
          <cell r="B992">
            <v>12983.42295</v>
          </cell>
        </row>
        <row r="993">
          <cell r="A993">
            <v>29131625</v>
          </cell>
          <cell r="B993">
            <v>8599.1732999999986</v>
          </cell>
        </row>
        <row r="994">
          <cell r="A994">
            <v>29131614</v>
          </cell>
          <cell r="B994">
            <v>10121.057999999999</v>
          </cell>
        </row>
        <row r="995">
          <cell r="A995">
            <v>29131615</v>
          </cell>
          <cell r="B995">
            <v>9972.8149499999981</v>
          </cell>
        </row>
        <row r="996">
          <cell r="A996">
            <v>29131616</v>
          </cell>
          <cell r="B996">
            <v>11360.780999999999</v>
          </cell>
        </row>
        <row r="997">
          <cell r="A997">
            <v>29131617</v>
          </cell>
          <cell r="B997">
            <v>13758.927749999999</v>
          </cell>
        </row>
        <row r="998">
          <cell r="A998">
            <v>29131618</v>
          </cell>
          <cell r="B998">
            <v>15334.6014</v>
          </cell>
        </row>
        <row r="999">
          <cell r="A999">
            <v>29131619</v>
          </cell>
          <cell r="B999">
            <v>14919.742349999999</v>
          </cell>
        </row>
        <row r="1000">
          <cell r="A1000">
            <v>29131620</v>
          </cell>
          <cell r="B1000">
            <v>16758.430199999999</v>
          </cell>
        </row>
        <row r="1001">
          <cell r="A1001">
            <v>29131621</v>
          </cell>
          <cell r="B1001">
            <v>19516.415399999998</v>
          </cell>
        </row>
        <row r="1002">
          <cell r="A1002">
            <v>29131622</v>
          </cell>
          <cell r="B1002">
            <v>21480.628049999999</v>
          </cell>
        </row>
        <row r="1003">
          <cell r="A1003">
            <v>29131623</v>
          </cell>
          <cell r="B1003">
            <v>20098.623599999999</v>
          </cell>
        </row>
        <row r="1004">
          <cell r="A1004">
            <v>29131624</v>
          </cell>
          <cell r="B1004">
            <v>22062.836249999997</v>
          </cell>
        </row>
        <row r="1005">
          <cell r="A1005">
            <v>29127113</v>
          </cell>
          <cell r="B1005">
            <v>2918.21</v>
          </cell>
        </row>
        <row r="1006">
          <cell r="A1006">
            <v>29127114</v>
          </cell>
          <cell r="B1006">
            <v>2989.93</v>
          </cell>
        </row>
        <row r="1007">
          <cell r="A1007">
            <v>29127115</v>
          </cell>
          <cell r="B1007">
            <v>3184.79</v>
          </cell>
        </row>
        <row r="1008">
          <cell r="A1008">
            <v>29127116</v>
          </cell>
          <cell r="B1008">
            <v>3184.79</v>
          </cell>
        </row>
        <row r="1009">
          <cell r="A1009">
            <v>29127117</v>
          </cell>
          <cell r="B1009">
            <v>3668.97</v>
          </cell>
        </row>
        <row r="1010">
          <cell r="A1010">
            <v>29127118</v>
          </cell>
          <cell r="B1010">
            <v>3734.71</v>
          </cell>
        </row>
        <row r="1011">
          <cell r="A1011">
            <v>29127119</v>
          </cell>
          <cell r="B1011">
            <v>3734.71</v>
          </cell>
        </row>
        <row r="1012">
          <cell r="A1012">
            <v>29127158</v>
          </cell>
          <cell r="B1012">
            <v>3851.89</v>
          </cell>
        </row>
        <row r="1013">
          <cell r="A1013">
            <v>29127135</v>
          </cell>
          <cell r="B1013">
            <v>4654.0600000000004</v>
          </cell>
        </row>
        <row r="1014">
          <cell r="A1014">
            <v>29127136</v>
          </cell>
          <cell r="B1014">
            <v>4797.51</v>
          </cell>
        </row>
        <row r="1015">
          <cell r="A1015">
            <v>29127137</v>
          </cell>
          <cell r="B1015">
            <v>5188.4399999999996</v>
          </cell>
        </row>
        <row r="1016">
          <cell r="A1016">
            <v>29127138</v>
          </cell>
          <cell r="B1016">
            <v>5188.4399999999996</v>
          </cell>
        </row>
        <row r="1017">
          <cell r="A1017">
            <v>29127139</v>
          </cell>
          <cell r="B1017">
            <v>6156.79</v>
          </cell>
        </row>
        <row r="1018">
          <cell r="A1018">
            <v>29127140</v>
          </cell>
          <cell r="B1018">
            <v>6288.32</v>
          </cell>
        </row>
        <row r="1019">
          <cell r="A1019">
            <v>29127141</v>
          </cell>
          <cell r="B1019">
            <v>6288.32</v>
          </cell>
        </row>
        <row r="1020">
          <cell r="A1020">
            <v>29127159</v>
          </cell>
          <cell r="B1020">
            <v>6521.41</v>
          </cell>
        </row>
        <row r="1021">
          <cell r="A1021">
            <v>29127142</v>
          </cell>
          <cell r="B1021">
            <v>2940.92</v>
          </cell>
        </row>
        <row r="1022">
          <cell r="A1022">
            <v>29127143</v>
          </cell>
          <cell r="B1022">
            <v>3012.65</v>
          </cell>
        </row>
        <row r="1023">
          <cell r="A1023">
            <v>29127144</v>
          </cell>
          <cell r="B1023">
            <v>3207.52</v>
          </cell>
        </row>
        <row r="1024">
          <cell r="A1024">
            <v>29127145</v>
          </cell>
          <cell r="B1024">
            <v>3316.3</v>
          </cell>
        </row>
        <row r="1025">
          <cell r="A1025">
            <v>29127146</v>
          </cell>
          <cell r="B1025">
            <v>3691.68</v>
          </cell>
        </row>
        <row r="1026">
          <cell r="A1026">
            <v>29127147</v>
          </cell>
          <cell r="B1026">
            <v>3757.45</v>
          </cell>
        </row>
        <row r="1027">
          <cell r="A1027">
            <v>29127148</v>
          </cell>
          <cell r="B1027">
            <v>3844.71</v>
          </cell>
        </row>
        <row r="1028">
          <cell r="A1028">
            <v>29127149</v>
          </cell>
          <cell r="B1028">
            <v>3725.16</v>
          </cell>
        </row>
        <row r="1029">
          <cell r="A1029">
            <v>29127150</v>
          </cell>
          <cell r="B1029">
            <v>4882.3999999999996</v>
          </cell>
        </row>
        <row r="1030">
          <cell r="A1030">
            <v>29127151</v>
          </cell>
          <cell r="B1030">
            <v>5027.04</v>
          </cell>
        </row>
        <row r="1031">
          <cell r="A1031">
            <v>29127152</v>
          </cell>
          <cell r="B1031">
            <v>5416.78</v>
          </cell>
        </row>
        <row r="1032">
          <cell r="A1032">
            <v>29127153</v>
          </cell>
          <cell r="B1032">
            <v>5633.16</v>
          </cell>
        </row>
        <row r="1033">
          <cell r="A1033">
            <v>29127154</v>
          </cell>
          <cell r="B1033">
            <v>6385.13</v>
          </cell>
        </row>
        <row r="1034">
          <cell r="A1034">
            <v>29127155</v>
          </cell>
          <cell r="B1034">
            <v>6517.84</v>
          </cell>
        </row>
        <row r="1035">
          <cell r="A1035">
            <v>29127156</v>
          </cell>
          <cell r="B1035">
            <v>6691.17</v>
          </cell>
        </row>
        <row r="1036">
          <cell r="A1036">
            <v>29127157</v>
          </cell>
          <cell r="B1036">
            <v>6452.08</v>
          </cell>
        </row>
        <row r="1037">
          <cell r="A1037">
            <v>19071805</v>
          </cell>
          <cell r="B1037">
            <v>94.44</v>
          </cell>
        </row>
        <row r="1038">
          <cell r="A1038">
            <v>19071804</v>
          </cell>
          <cell r="B1038">
            <v>119.55</v>
          </cell>
        </row>
        <row r="1039">
          <cell r="A1039">
            <v>19071713</v>
          </cell>
          <cell r="B1039">
            <v>176.94</v>
          </cell>
        </row>
        <row r="1040">
          <cell r="A1040">
            <v>19071711</v>
          </cell>
          <cell r="B1040">
            <v>346.69</v>
          </cell>
        </row>
        <row r="1041">
          <cell r="A1041">
            <v>19141820</v>
          </cell>
          <cell r="B1041">
            <v>55.01</v>
          </cell>
        </row>
        <row r="1042">
          <cell r="A1042">
            <v>1056145</v>
          </cell>
          <cell r="B1042">
            <v>45.45</v>
          </cell>
        </row>
        <row r="1043">
          <cell r="A1043">
            <v>11037341</v>
          </cell>
          <cell r="B1043">
            <v>59.77</v>
          </cell>
        </row>
        <row r="1044">
          <cell r="A1044">
            <v>11037342</v>
          </cell>
          <cell r="B1044">
            <v>66.95</v>
          </cell>
        </row>
        <row r="1045">
          <cell r="A1045">
            <v>11037343</v>
          </cell>
          <cell r="B1045">
            <v>78.900000000000006</v>
          </cell>
        </row>
        <row r="1046">
          <cell r="A1046">
            <v>29128401</v>
          </cell>
          <cell r="B1046">
            <v>69.08</v>
          </cell>
        </row>
        <row r="1047">
          <cell r="A1047">
            <v>29128422</v>
          </cell>
          <cell r="B1047">
            <v>198.45</v>
          </cell>
        </row>
        <row r="1048">
          <cell r="A1048">
            <v>29128442</v>
          </cell>
          <cell r="B1048">
            <v>350.29</v>
          </cell>
        </row>
        <row r="1049">
          <cell r="A1049">
            <v>530561</v>
          </cell>
          <cell r="B1049">
            <v>542.74</v>
          </cell>
        </row>
        <row r="1050">
          <cell r="A1050">
            <v>1056355</v>
          </cell>
          <cell r="B1050">
            <v>148.22999999999999</v>
          </cell>
        </row>
        <row r="1051">
          <cell r="A1051">
            <v>1086547</v>
          </cell>
          <cell r="B1051">
            <v>57.39</v>
          </cell>
        </row>
        <row r="1052">
          <cell r="A1052">
            <v>29130980</v>
          </cell>
          <cell r="B1052">
            <v>4242.2700000000004</v>
          </cell>
        </row>
        <row r="1053">
          <cell r="A1053">
            <v>29130982</v>
          </cell>
          <cell r="B1053">
            <v>4278.24</v>
          </cell>
        </row>
        <row r="1054">
          <cell r="A1054">
            <v>29130984</v>
          </cell>
          <cell r="B1054">
            <v>4374.57</v>
          </cell>
        </row>
        <row r="1055">
          <cell r="A1055">
            <v>29130986</v>
          </cell>
          <cell r="B1055">
            <v>4414.05</v>
          </cell>
        </row>
        <row r="1056">
          <cell r="A1056">
            <v>29130988</v>
          </cell>
          <cell r="B1056">
            <v>4476.72</v>
          </cell>
        </row>
        <row r="1057">
          <cell r="A1057">
            <v>29130981</v>
          </cell>
          <cell r="B1057">
            <v>6846.81</v>
          </cell>
        </row>
        <row r="1058">
          <cell r="A1058">
            <v>29130983</v>
          </cell>
          <cell r="B1058">
            <v>6918.78</v>
          </cell>
        </row>
        <row r="1059">
          <cell r="A1059">
            <v>29130985</v>
          </cell>
          <cell r="B1059">
            <v>7113.77</v>
          </cell>
        </row>
        <row r="1060">
          <cell r="A1060">
            <v>29130987</v>
          </cell>
          <cell r="B1060">
            <v>7301.81</v>
          </cell>
        </row>
        <row r="1061">
          <cell r="A1061">
            <v>29130989</v>
          </cell>
          <cell r="B1061">
            <v>7660.44</v>
          </cell>
        </row>
        <row r="1062">
          <cell r="A1062">
            <v>19071423</v>
          </cell>
          <cell r="B1062">
            <v>138.68</v>
          </cell>
        </row>
        <row r="1063">
          <cell r="A1063">
            <v>39022252</v>
          </cell>
          <cell r="B1063">
            <v>71.73</v>
          </cell>
        </row>
        <row r="1064">
          <cell r="A1064">
            <v>39022248</v>
          </cell>
          <cell r="B1064">
            <v>39.46</v>
          </cell>
        </row>
        <row r="1065">
          <cell r="A1065">
            <v>39021016</v>
          </cell>
          <cell r="B1065">
            <v>39.46</v>
          </cell>
        </row>
        <row r="1066">
          <cell r="A1066">
            <v>19141819</v>
          </cell>
          <cell r="B1066">
            <v>25.11</v>
          </cell>
        </row>
        <row r="1067">
          <cell r="A1067">
            <v>19141820</v>
          </cell>
          <cell r="B1067">
            <v>55.01</v>
          </cell>
        </row>
        <row r="1068">
          <cell r="A1068">
            <v>19143335</v>
          </cell>
          <cell r="B1068">
            <v>114.77</v>
          </cell>
        </row>
        <row r="1069">
          <cell r="A1069">
            <v>19143336</v>
          </cell>
          <cell r="B1069">
            <v>321.91000000000003</v>
          </cell>
        </row>
        <row r="1070">
          <cell r="A1070">
            <v>39021975</v>
          </cell>
          <cell r="B1070">
            <v>59.77</v>
          </cell>
        </row>
        <row r="1071">
          <cell r="A1071">
            <v>19071721</v>
          </cell>
          <cell r="B1071">
            <v>87.28</v>
          </cell>
        </row>
        <row r="1072">
          <cell r="A1072">
            <v>19071837</v>
          </cell>
          <cell r="B1072">
            <v>123.14</v>
          </cell>
        </row>
        <row r="1073">
          <cell r="A1073">
            <v>19071722</v>
          </cell>
          <cell r="B1073">
            <v>276.17</v>
          </cell>
        </row>
        <row r="1074">
          <cell r="A1074">
            <v>19074169</v>
          </cell>
          <cell r="B1074">
            <v>28.82</v>
          </cell>
        </row>
        <row r="1075">
          <cell r="A1075">
            <v>19071911</v>
          </cell>
          <cell r="B1075">
            <v>422.02</v>
          </cell>
        </row>
        <row r="1076">
          <cell r="A1076">
            <v>19071440</v>
          </cell>
          <cell r="B1076">
            <v>1136.92</v>
          </cell>
        </row>
        <row r="1077">
          <cell r="A1077">
            <v>1035729</v>
          </cell>
          <cell r="B1077">
            <v>90.62</v>
          </cell>
        </row>
        <row r="1078">
          <cell r="A1078">
            <v>1118726</v>
          </cell>
          <cell r="B1078">
            <v>1033.47</v>
          </cell>
        </row>
        <row r="1079">
          <cell r="A1079">
            <v>19074059</v>
          </cell>
          <cell r="B1079">
            <v>1280.51</v>
          </cell>
        </row>
        <row r="1080">
          <cell r="A1080">
            <v>1119203</v>
          </cell>
          <cell r="B1080">
            <v>1399.58</v>
          </cell>
        </row>
        <row r="1081">
          <cell r="A1081">
            <v>1118728</v>
          </cell>
          <cell r="B1081">
            <v>1369.72</v>
          </cell>
        </row>
        <row r="1082">
          <cell r="A1082">
            <v>19074061</v>
          </cell>
          <cell r="B1082">
            <v>1505.84</v>
          </cell>
        </row>
        <row r="1083">
          <cell r="A1083">
            <v>1119205</v>
          </cell>
          <cell r="B1083">
            <v>1624.91</v>
          </cell>
        </row>
        <row r="1084">
          <cell r="A1084">
            <v>1118748</v>
          </cell>
          <cell r="B1084">
            <v>44.13</v>
          </cell>
        </row>
        <row r="1085">
          <cell r="A1085">
            <v>1118747</v>
          </cell>
          <cell r="B1085">
            <v>320.69</v>
          </cell>
        </row>
        <row r="1086">
          <cell r="A1086">
            <v>1118746</v>
          </cell>
          <cell r="B1086">
            <v>210.79</v>
          </cell>
        </row>
        <row r="1087">
          <cell r="A1087">
            <v>1111935</v>
          </cell>
          <cell r="B1087">
            <v>76.37</v>
          </cell>
        </row>
        <row r="1088">
          <cell r="A1088">
            <v>19070614</v>
          </cell>
          <cell r="B1088">
            <v>137.21</v>
          </cell>
        </row>
        <row r="1089">
          <cell r="A1089">
            <v>1056355</v>
          </cell>
          <cell r="B1089">
            <v>148.22999999999999</v>
          </cell>
        </row>
        <row r="1090">
          <cell r="A1090">
            <v>1086547</v>
          </cell>
          <cell r="B1090">
            <v>57.39</v>
          </cell>
        </row>
        <row r="1091">
          <cell r="A1091">
            <v>1073476</v>
          </cell>
          <cell r="B1091">
            <v>253.44</v>
          </cell>
        </row>
        <row r="1092">
          <cell r="A1092">
            <v>47121210</v>
          </cell>
          <cell r="B1092">
            <v>199.98</v>
          </cell>
        </row>
        <row r="1093">
          <cell r="A1093">
            <v>19071805</v>
          </cell>
          <cell r="B1093">
            <v>94.44</v>
          </cell>
        </row>
        <row r="1094">
          <cell r="A1094">
            <v>19071804</v>
          </cell>
          <cell r="B1094">
            <v>119.55</v>
          </cell>
        </row>
        <row r="1095">
          <cell r="A1095">
            <v>19071713</v>
          </cell>
          <cell r="B1095">
            <v>176.94</v>
          </cell>
        </row>
        <row r="1096">
          <cell r="A1096">
            <v>19071711</v>
          </cell>
          <cell r="B1096">
            <v>346.69</v>
          </cell>
        </row>
        <row r="1097">
          <cell r="A1097">
            <v>1056145</v>
          </cell>
          <cell r="B1097">
            <v>45.45</v>
          </cell>
        </row>
        <row r="1098">
          <cell r="A1098">
            <v>11037341</v>
          </cell>
          <cell r="B1098">
            <v>59.77</v>
          </cell>
        </row>
        <row r="1099">
          <cell r="A1099">
            <v>11037342</v>
          </cell>
          <cell r="B1099">
            <v>66.95</v>
          </cell>
        </row>
        <row r="1100">
          <cell r="A1100">
            <v>11037343</v>
          </cell>
          <cell r="B1100">
            <v>78.900000000000006</v>
          </cell>
        </row>
        <row r="1101">
          <cell r="A1101">
            <v>19071440</v>
          </cell>
          <cell r="B1101">
            <v>1136.92</v>
          </cell>
        </row>
        <row r="1102">
          <cell r="A1102">
            <v>19071960</v>
          </cell>
          <cell r="B1102">
            <v>1727.5</v>
          </cell>
        </row>
        <row r="1103">
          <cell r="A1103">
            <v>1059451</v>
          </cell>
          <cell r="B1103">
            <v>468.5</v>
          </cell>
        </row>
        <row r="1104">
          <cell r="A1104">
            <v>19071830</v>
          </cell>
          <cell r="B1104">
            <v>484.16</v>
          </cell>
        </row>
        <row r="1105">
          <cell r="A1105">
            <v>29128401</v>
          </cell>
          <cell r="B1105">
            <v>69.08</v>
          </cell>
        </row>
        <row r="1106">
          <cell r="A1106">
            <v>29128422</v>
          </cell>
          <cell r="B1106">
            <v>198.45</v>
          </cell>
        </row>
        <row r="1107">
          <cell r="A1107">
            <v>29128442</v>
          </cell>
          <cell r="B1107">
            <v>350.29</v>
          </cell>
        </row>
        <row r="1108">
          <cell r="A1108">
            <v>530561</v>
          </cell>
          <cell r="B1108">
            <v>542.74</v>
          </cell>
        </row>
        <row r="1109">
          <cell r="A1109">
            <v>1056355</v>
          </cell>
          <cell r="B1109">
            <v>148.22999999999999</v>
          </cell>
        </row>
        <row r="1110">
          <cell r="A1110">
            <v>1086547</v>
          </cell>
          <cell r="B1110">
            <v>57.39</v>
          </cell>
        </row>
        <row r="1111">
          <cell r="A1111">
            <v>1061066</v>
          </cell>
          <cell r="B1111">
            <v>88.46</v>
          </cell>
        </row>
        <row r="1112">
          <cell r="A1112">
            <v>1061067</v>
          </cell>
          <cell r="B1112">
            <v>111.19</v>
          </cell>
        </row>
        <row r="1113">
          <cell r="A1113">
            <v>19071721</v>
          </cell>
          <cell r="B1113">
            <v>87.28</v>
          </cell>
        </row>
        <row r="1114">
          <cell r="A1114">
            <v>19071837</v>
          </cell>
          <cell r="B1114">
            <v>123.14</v>
          </cell>
        </row>
        <row r="1115">
          <cell r="A1115">
            <v>19071722</v>
          </cell>
          <cell r="B1115">
            <v>276.17</v>
          </cell>
        </row>
        <row r="1116">
          <cell r="A1116">
            <v>18040370</v>
          </cell>
          <cell r="B1116">
            <v>14.33</v>
          </cell>
        </row>
        <row r="1117">
          <cell r="A1117">
            <v>18040203</v>
          </cell>
          <cell r="B1117">
            <v>23.91</v>
          </cell>
        </row>
        <row r="1118">
          <cell r="A1118">
            <v>18040338</v>
          </cell>
          <cell r="B1118">
            <v>47.82</v>
          </cell>
        </row>
        <row r="1119">
          <cell r="A1119">
            <v>18040972</v>
          </cell>
          <cell r="B1119">
            <v>76.3</v>
          </cell>
        </row>
        <row r="1120">
          <cell r="A1120">
            <v>18040329</v>
          </cell>
          <cell r="B1120">
            <v>13.17</v>
          </cell>
        </row>
        <row r="1121">
          <cell r="A1121">
            <v>18040330</v>
          </cell>
          <cell r="B1121">
            <v>27.5</v>
          </cell>
        </row>
        <row r="1122">
          <cell r="A1122">
            <v>19074057</v>
          </cell>
          <cell r="B1122">
            <v>88.430399999999992</v>
          </cell>
        </row>
        <row r="1123">
          <cell r="A1123">
            <v>19070679</v>
          </cell>
          <cell r="B1123">
            <v>94.44</v>
          </cell>
        </row>
        <row r="1124">
          <cell r="A1124">
            <v>19074058</v>
          </cell>
          <cell r="B1124">
            <v>89.41364999999999</v>
          </cell>
        </row>
        <row r="1125">
          <cell r="A1125">
            <v>18040303</v>
          </cell>
          <cell r="B1125">
            <v>27.5</v>
          </cell>
        </row>
        <row r="1126">
          <cell r="A1126">
            <v>19902512</v>
          </cell>
          <cell r="B1126">
            <v>104.01</v>
          </cell>
        </row>
        <row r="1127">
          <cell r="A1127">
            <v>19901562</v>
          </cell>
          <cell r="B1127">
            <v>132.69999999999999</v>
          </cell>
        </row>
        <row r="1128">
          <cell r="A1128">
            <v>11037421</v>
          </cell>
          <cell r="B1128">
            <v>226.88</v>
          </cell>
        </row>
        <row r="1129">
          <cell r="A1129">
            <v>262135</v>
          </cell>
          <cell r="B1129">
            <v>86.08</v>
          </cell>
        </row>
        <row r="1130">
          <cell r="A1130">
            <v>1020844</v>
          </cell>
          <cell r="B1130">
            <v>148.22999999999999</v>
          </cell>
        </row>
        <row r="1131">
          <cell r="A1131">
            <v>263071</v>
          </cell>
          <cell r="B1131">
            <v>287.33999999999997</v>
          </cell>
        </row>
        <row r="1132">
          <cell r="A1132">
            <v>1070642</v>
          </cell>
          <cell r="B1132">
            <v>166.16</v>
          </cell>
        </row>
        <row r="1133">
          <cell r="A1133">
            <v>1070641</v>
          </cell>
          <cell r="B1133">
            <v>245.09</v>
          </cell>
        </row>
        <row r="1134">
          <cell r="A1134">
            <v>1132654</v>
          </cell>
          <cell r="B1134">
            <v>334.59</v>
          </cell>
        </row>
        <row r="1135">
          <cell r="A1135">
            <v>1009771</v>
          </cell>
          <cell r="B1135">
            <v>37.06</v>
          </cell>
        </row>
        <row r="1136">
          <cell r="A1136">
            <v>1009773</v>
          </cell>
          <cell r="B1136">
            <v>44.23</v>
          </cell>
        </row>
        <row r="1137">
          <cell r="A1137">
            <v>1120610</v>
          </cell>
          <cell r="B1137">
            <v>101.12</v>
          </cell>
        </row>
        <row r="1138">
          <cell r="A1138">
            <v>1036090</v>
          </cell>
          <cell r="B1138">
            <v>154.19999999999999</v>
          </cell>
        </row>
        <row r="1139">
          <cell r="A1139">
            <v>48829255</v>
          </cell>
          <cell r="B1139">
            <v>426.79</v>
          </cell>
        </row>
        <row r="1140">
          <cell r="A1140">
            <v>1014219</v>
          </cell>
          <cell r="B1140">
            <v>17.93</v>
          </cell>
        </row>
        <row r="1141">
          <cell r="A1141">
            <v>411503</v>
          </cell>
          <cell r="B1141">
            <v>34.659999999999997</v>
          </cell>
        </row>
        <row r="1142">
          <cell r="A1142">
            <v>1120607</v>
          </cell>
          <cell r="B1142">
            <v>53.96</v>
          </cell>
        </row>
        <row r="1143">
          <cell r="A1143">
            <v>1050382</v>
          </cell>
          <cell r="B1143">
            <v>96.82</v>
          </cell>
        </row>
        <row r="1144">
          <cell r="A1144">
            <v>1121715</v>
          </cell>
          <cell r="B1144">
            <v>289.69</v>
          </cell>
        </row>
        <row r="1145">
          <cell r="A1145">
            <v>1121714</v>
          </cell>
          <cell r="B1145">
            <v>579.37</v>
          </cell>
        </row>
        <row r="1146">
          <cell r="A1146">
            <v>48829250</v>
          </cell>
          <cell r="B1146">
            <v>239.1</v>
          </cell>
        </row>
        <row r="1147">
          <cell r="A1147">
            <v>48829251</v>
          </cell>
          <cell r="B1147">
            <v>297.68</v>
          </cell>
        </row>
        <row r="1148">
          <cell r="A1148">
            <v>48829252</v>
          </cell>
          <cell r="B1148">
            <v>492.55</v>
          </cell>
        </row>
        <row r="1149">
          <cell r="A1149">
            <v>48816278</v>
          </cell>
          <cell r="B1149">
            <v>699.04</v>
          </cell>
        </row>
        <row r="1150">
          <cell r="A1150">
            <v>1056708</v>
          </cell>
          <cell r="B1150">
            <v>151.83000000000001</v>
          </cell>
        </row>
        <row r="1151">
          <cell r="A1151">
            <v>1056709</v>
          </cell>
          <cell r="B1151">
            <v>162.6</v>
          </cell>
        </row>
        <row r="1152">
          <cell r="A1152">
            <v>1056710</v>
          </cell>
          <cell r="B1152">
            <v>219.96</v>
          </cell>
        </row>
        <row r="1153">
          <cell r="A1153">
            <v>1132653</v>
          </cell>
          <cell r="B1153">
            <v>272.93</v>
          </cell>
        </row>
        <row r="1154">
          <cell r="A1154">
            <v>18072644</v>
          </cell>
          <cell r="B1154">
            <v>19.13</v>
          </cell>
        </row>
        <row r="1155">
          <cell r="A1155">
            <v>18060163</v>
          </cell>
          <cell r="B1155">
            <v>19.13</v>
          </cell>
        </row>
        <row r="1156">
          <cell r="A1156">
            <v>18076348</v>
          </cell>
          <cell r="B1156">
            <v>28.68</v>
          </cell>
        </row>
        <row r="1157">
          <cell r="A1157">
            <v>18040967</v>
          </cell>
          <cell r="B1157">
            <v>38.01</v>
          </cell>
        </row>
        <row r="1158">
          <cell r="A1158">
            <v>18040636</v>
          </cell>
          <cell r="B1158">
            <v>261.8</v>
          </cell>
        </row>
        <row r="1159">
          <cell r="A1159">
            <v>18040966</v>
          </cell>
          <cell r="B1159">
            <v>370.79</v>
          </cell>
        </row>
        <row r="1160">
          <cell r="A1160">
            <v>18040252</v>
          </cell>
          <cell r="B1160">
            <v>451.89</v>
          </cell>
        </row>
        <row r="1161">
          <cell r="A1161">
            <v>18040911</v>
          </cell>
          <cell r="B1161">
            <v>480.59</v>
          </cell>
        </row>
        <row r="1162">
          <cell r="A1162">
            <v>1134592</v>
          </cell>
          <cell r="B1162">
            <v>490.75</v>
          </cell>
        </row>
        <row r="1163">
          <cell r="A1163">
            <v>520485</v>
          </cell>
          <cell r="B1163">
            <v>168.57</v>
          </cell>
        </row>
        <row r="1164">
          <cell r="A1164">
            <v>19053063</v>
          </cell>
          <cell r="B1164">
            <v>144.66</v>
          </cell>
        </row>
        <row r="1165">
          <cell r="A1165">
            <v>18075627</v>
          </cell>
          <cell r="B1165">
            <v>174.54</v>
          </cell>
        </row>
        <row r="1166">
          <cell r="A1166">
            <v>18040964</v>
          </cell>
          <cell r="B1166">
            <v>82.67</v>
          </cell>
        </row>
        <row r="1167">
          <cell r="A1167">
            <v>18040965</v>
          </cell>
          <cell r="B1167">
            <v>116.84</v>
          </cell>
        </row>
        <row r="1168">
          <cell r="A1168">
            <v>18040353</v>
          </cell>
          <cell r="B1168">
            <v>159.01</v>
          </cell>
        </row>
        <row r="1169">
          <cell r="A1169">
            <v>18041087</v>
          </cell>
          <cell r="B1169">
            <v>119.59424999999999</v>
          </cell>
        </row>
        <row r="1170">
          <cell r="A1170">
            <v>18040943</v>
          </cell>
          <cell r="B1170">
            <v>265.95</v>
          </cell>
        </row>
        <row r="1171">
          <cell r="A1171">
            <v>18040033</v>
          </cell>
          <cell r="B1171">
            <v>47.82</v>
          </cell>
        </row>
        <row r="1172">
          <cell r="A1172">
            <v>18040562</v>
          </cell>
          <cell r="B1172">
            <v>98.04</v>
          </cell>
        </row>
        <row r="1173">
          <cell r="A1173">
            <v>29128401</v>
          </cell>
          <cell r="B1173">
            <v>69.08</v>
          </cell>
        </row>
        <row r="1174">
          <cell r="A1174">
            <v>29128442</v>
          </cell>
          <cell r="B1174">
            <v>350.29</v>
          </cell>
        </row>
        <row r="1175">
          <cell r="A1175">
            <v>530561</v>
          </cell>
          <cell r="B1175">
            <v>542.74</v>
          </cell>
        </row>
        <row r="1176">
          <cell r="A1176">
            <v>1086547</v>
          </cell>
          <cell r="B1176">
            <v>57.39</v>
          </cell>
        </row>
        <row r="1177">
          <cell r="A1177">
            <v>29128422</v>
          </cell>
          <cell r="B1177">
            <v>198.45</v>
          </cell>
        </row>
        <row r="1178">
          <cell r="A1178">
            <v>19072366</v>
          </cell>
          <cell r="B1178">
            <v>47.82</v>
          </cell>
        </row>
        <row r="1179">
          <cell r="A1179">
            <v>533740</v>
          </cell>
          <cell r="B1179">
            <v>199.63</v>
          </cell>
        </row>
        <row r="1180">
          <cell r="A1180">
            <v>18040304</v>
          </cell>
          <cell r="B1180">
            <v>150.62</v>
          </cell>
        </row>
        <row r="1181">
          <cell r="A1181">
            <v>1118354</v>
          </cell>
          <cell r="B1181">
            <v>50.766749999999995</v>
          </cell>
        </row>
        <row r="1182">
          <cell r="A1182">
            <v>40982844</v>
          </cell>
          <cell r="B1182">
            <v>241.5</v>
          </cell>
        </row>
        <row r="1183">
          <cell r="A1183">
            <v>40982845</v>
          </cell>
          <cell r="B1183">
            <v>263.01</v>
          </cell>
        </row>
        <row r="1184">
          <cell r="A1184">
            <v>40982846</v>
          </cell>
          <cell r="B1184">
            <v>310.83999999999997</v>
          </cell>
        </row>
        <row r="1185">
          <cell r="A1185">
            <v>40982847</v>
          </cell>
          <cell r="B1185">
            <v>382.57</v>
          </cell>
        </row>
        <row r="1186">
          <cell r="A1186">
            <v>40982848</v>
          </cell>
          <cell r="B1186">
            <v>591.77</v>
          </cell>
        </row>
        <row r="1187">
          <cell r="A1187">
            <v>40982839</v>
          </cell>
          <cell r="B1187">
            <v>219.96</v>
          </cell>
        </row>
        <row r="1188">
          <cell r="A1188">
            <v>40982840</v>
          </cell>
          <cell r="B1188">
            <v>239.1</v>
          </cell>
        </row>
        <row r="1189">
          <cell r="A1189">
            <v>40982841</v>
          </cell>
          <cell r="B1189">
            <v>283.33</v>
          </cell>
        </row>
        <row r="1190">
          <cell r="A1190">
            <v>40982842</v>
          </cell>
          <cell r="B1190">
            <v>375.38</v>
          </cell>
        </row>
        <row r="1191">
          <cell r="A1191">
            <v>40982843</v>
          </cell>
          <cell r="B1191">
            <v>537.97</v>
          </cell>
        </row>
        <row r="1192">
          <cell r="A1192">
            <v>40982849</v>
          </cell>
          <cell r="B1192">
            <v>219.96</v>
          </cell>
        </row>
        <row r="1193">
          <cell r="A1193">
            <v>40982850</v>
          </cell>
          <cell r="B1193">
            <v>239.1</v>
          </cell>
        </row>
        <row r="1194">
          <cell r="A1194">
            <v>40982851</v>
          </cell>
          <cell r="B1194">
            <v>283.33</v>
          </cell>
        </row>
        <row r="1195">
          <cell r="A1195">
            <v>40982852</v>
          </cell>
          <cell r="B1195">
            <v>375.38</v>
          </cell>
        </row>
        <row r="1196">
          <cell r="A1196">
            <v>40982853</v>
          </cell>
          <cell r="B1196">
            <v>537.97</v>
          </cell>
        </row>
        <row r="1197">
          <cell r="A1197">
            <v>39019125</v>
          </cell>
          <cell r="B1197">
            <v>448.3</v>
          </cell>
        </row>
        <row r="1198">
          <cell r="A1198">
            <v>39019126</v>
          </cell>
          <cell r="B1198">
            <v>494.93</v>
          </cell>
        </row>
        <row r="1199">
          <cell r="A1199">
            <v>39019127</v>
          </cell>
          <cell r="B1199">
            <v>565.46</v>
          </cell>
        </row>
        <row r="1200">
          <cell r="A1200">
            <v>39019128</v>
          </cell>
          <cell r="B1200">
            <v>769.9</v>
          </cell>
        </row>
        <row r="1201">
          <cell r="A1201">
            <v>39300040</v>
          </cell>
          <cell r="B1201">
            <v>446.17</v>
          </cell>
        </row>
        <row r="1202">
          <cell r="A1202">
            <v>39300041</v>
          </cell>
          <cell r="B1202">
            <v>492.8</v>
          </cell>
        </row>
        <row r="1203">
          <cell r="A1203">
            <v>39300042</v>
          </cell>
          <cell r="B1203">
            <v>563.33000000000004</v>
          </cell>
        </row>
        <row r="1204">
          <cell r="A1204">
            <v>39300043</v>
          </cell>
          <cell r="B1204">
            <v>767.76</v>
          </cell>
        </row>
        <row r="1205">
          <cell r="A1205">
            <v>40982854</v>
          </cell>
          <cell r="B1205">
            <v>444.72</v>
          </cell>
        </row>
        <row r="1206">
          <cell r="A1206">
            <v>40982855</v>
          </cell>
          <cell r="B1206">
            <v>493.74</v>
          </cell>
        </row>
        <row r="1207">
          <cell r="A1207">
            <v>40982856</v>
          </cell>
          <cell r="B1207">
            <v>700.57</v>
          </cell>
        </row>
        <row r="1208">
          <cell r="A1208">
            <v>40982857</v>
          </cell>
          <cell r="B1208">
            <v>772.3</v>
          </cell>
        </row>
        <row r="1209">
          <cell r="A1209">
            <v>40982859</v>
          </cell>
          <cell r="B1209">
            <v>1028.1400000000001</v>
          </cell>
        </row>
        <row r="1210">
          <cell r="A1210">
            <v>40982858</v>
          </cell>
          <cell r="B1210">
            <v>772.3</v>
          </cell>
        </row>
        <row r="1211">
          <cell r="A1211">
            <v>40982860</v>
          </cell>
          <cell r="B1211">
            <v>1028.1400000000001</v>
          </cell>
        </row>
        <row r="1212">
          <cell r="A1212">
            <v>39019480</v>
          </cell>
          <cell r="B1212">
            <v>533.20000000000005</v>
          </cell>
        </row>
        <row r="1213">
          <cell r="A1213">
            <v>39019481</v>
          </cell>
          <cell r="B1213">
            <v>579.82000000000005</v>
          </cell>
        </row>
        <row r="1214">
          <cell r="A1214">
            <v>39019482</v>
          </cell>
          <cell r="B1214">
            <v>609.71</v>
          </cell>
        </row>
        <row r="1215">
          <cell r="A1215">
            <v>39019483</v>
          </cell>
          <cell r="B1215">
            <v>609.71</v>
          </cell>
        </row>
        <row r="1216">
          <cell r="A1216">
            <v>39019484</v>
          </cell>
          <cell r="B1216">
            <v>665.89</v>
          </cell>
        </row>
        <row r="1217">
          <cell r="A1217">
            <v>39019485</v>
          </cell>
          <cell r="B1217">
            <v>515.26</v>
          </cell>
        </row>
        <row r="1218">
          <cell r="A1218">
            <v>39019486</v>
          </cell>
          <cell r="B1218">
            <v>560.69000000000005</v>
          </cell>
        </row>
        <row r="1219">
          <cell r="A1219">
            <v>39019487</v>
          </cell>
          <cell r="B1219">
            <v>588.17999999999995</v>
          </cell>
        </row>
        <row r="1220">
          <cell r="A1220">
            <v>39019488</v>
          </cell>
          <cell r="B1220">
            <v>588.17999999999995</v>
          </cell>
        </row>
        <row r="1221">
          <cell r="A1221">
            <v>39019489</v>
          </cell>
          <cell r="B1221">
            <v>644.38</v>
          </cell>
        </row>
        <row r="1222">
          <cell r="A1222">
            <v>39022528</v>
          </cell>
          <cell r="B1222">
            <v>766.82</v>
          </cell>
        </row>
        <row r="1223">
          <cell r="A1223">
            <v>39022529</v>
          </cell>
          <cell r="B1223">
            <v>808.44</v>
          </cell>
        </row>
        <row r="1224">
          <cell r="A1224">
            <v>39022530</v>
          </cell>
          <cell r="B1224">
            <v>846.47</v>
          </cell>
        </row>
        <row r="1225">
          <cell r="A1225">
            <v>39022531</v>
          </cell>
          <cell r="B1225">
            <v>875.02</v>
          </cell>
        </row>
        <row r="1226">
          <cell r="A1226">
            <v>39022532</v>
          </cell>
          <cell r="B1226">
            <v>915.42</v>
          </cell>
        </row>
        <row r="1227">
          <cell r="A1227">
            <v>39022533</v>
          </cell>
          <cell r="B1227">
            <v>1024.81</v>
          </cell>
        </row>
        <row r="1228">
          <cell r="A1228">
            <v>39022534</v>
          </cell>
          <cell r="B1228">
            <v>1125.8699999999999</v>
          </cell>
        </row>
        <row r="1229">
          <cell r="A1229">
            <v>39022535</v>
          </cell>
          <cell r="B1229">
            <v>1228.0999999999999</v>
          </cell>
        </row>
        <row r="1230">
          <cell r="A1230">
            <v>39022536</v>
          </cell>
          <cell r="B1230">
            <v>1314.9</v>
          </cell>
        </row>
        <row r="1231">
          <cell r="A1231">
            <v>39022537</v>
          </cell>
          <cell r="B1231">
            <v>1471.83</v>
          </cell>
        </row>
        <row r="1232">
          <cell r="A1232">
            <v>39022538</v>
          </cell>
          <cell r="B1232">
            <v>1757.17</v>
          </cell>
        </row>
        <row r="1233">
          <cell r="A1233">
            <v>39022539</v>
          </cell>
          <cell r="B1233">
            <v>771.57</v>
          </cell>
        </row>
        <row r="1234">
          <cell r="A1234">
            <v>39022540</v>
          </cell>
          <cell r="B1234">
            <v>815.58</v>
          </cell>
        </row>
        <row r="1235">
          <cell r="A1235">
            <v>39022541</v>
          </cell>
          <cell r="B1235">
            <v>884.52</v>
          </cell>
        </row>
        <row r="1236">
          <cell r="A1236">
            <v>39022542</v>
          </cell>
          <cell r="B1236">
            <v>979.63</v>
          </cell>
        </row>
        <row r="1237">
          <cell r="A1237">
            <v>39022543</v>
          </cell>
          <cell r="B1237">
            <v>1079.51</v>
          </cell>
        </row>
        <row r="1238">
          <cell r="A1238">
            <v>39022544</v>
          </cell>
          <cell r="B1238">
            <v>1250.69</v>
          </cell>
        </row>
        <row r="1239">
          <cell r="A1239">
            <v>39022545</v>
          </cell>
          <cell r="B1239">
            <v>1443.28</v>
          </cell>
        </row>
        <row r="1240">
          <cell r="A1240">
            <v>39022546</v>
          </cell>
          <cell r="B1240">
            <v>1462.31</v>
          </cell>
        </row>
        <row r="1241">
          <cell r="A1241">
            <v>39022547</v>
          </cell>
          <cell r="B1241">
            <v>1483.71</v>
          </cell>
        </row>
        <row r="1242">
          <cell r="A1242">
            <v>39022548</v>
          </cell>
          <cell r="B1242">
            <v>1974.72</v>
          </cell>
        </row>
        <row r="1243">
          <cell r="A1243">
            <v>39022549</v>
          </cell>
          <cell r="B1243">
            <v>2100.7399999999998</v>
          </cell>
        </row>
        <row r="1244">
          <cell r="A1244">
            <v>39022550</v>
          </cell>
          <cell r="B1244">
            <v>829.83</v>
          </cell>
        </row>
        <row r="1245">
          <cell r="A1245">
            <v>39022551</v>
          </cell>
          <cell r="B1245">
            <v>890.46</v>
          </cell>
        </row>
        <row r="1246">
          <cell r="A1246">
            <v>39022552</v>
          </cell>
          <cell r="B1246">
            <v>960.61</v>
          </cell>
        </row>
        <row r="1247">
          <cell r="A1247">
            <v>39022553</v>
          </cell>
          <cell r="B1247">
            <v>1262.5899999999999</v>
          </cell>
        </row>
        <row r="1248">
          <cell r="A1248">
            <v>39022554</v>
          </cell>
          <cell r="B1248">
            <v>1489.66</v>
          </cell>
        </row>
        <row r="1249">
          <cell r="A1249">
            <v>39022555</v>
          </cell>
          <cell r="B1249">
            <v>1717.92</v>
          </cell>
        </row>
        <row r="1250">
          <cell r="A1250">
            <v>39022556</v>
          </cell>
          <cell r="B1250">
            <v>1826.12</v>
          </cell>
        </row>
        <row r="1251">
          <cell r="A1251">
            <v>39022557</v>
          </cell>
          <cell r="B1251">
            <v>905.93</v>
          </cell>
        </row>
        <row r="1252">
          <cell r="A1252">
            <v>39022558</v>
          </cell>
          <cell r="B1252">
            <v>1187.67</v>
          </cell>
        </row>
        <row r="1253">
          <cell r="A1253">
            <v>39022559</v>
          </cell>
          <cell r="B1253">
            <v>1413.56</v>
          </cell>
        </row>
        <row r="1254">
          <cell r="A1254">
            <v>39022560</v>
          </cell>
          <cell r="B1254">
            <v>1621.62</v>
          </cell>
        </row>
        <row r="1255">
          <cell r="A1255">
            <v>39022561</v>
          </cell>
          <cell r="B1255">
            <v>1747.65</v>
          </cell>
        </row>
        <row r="1256">
          <cell r="A1256">
            <v>39022562</v>
          </cell>
          <cell r="B1256">
            <v>1349.38</v>
          </cell>
        </row>
        <row r="1257">
          <cell r="A1257">
            <v>39022563</v>
          </cell>
          <cell r="B1257">
            <v>1482.52</v>
          </cell>
        </row>
        <row r="1258">
          <cell r="A1258">
            <v>39022564</v>
          </cell>
          <cell r="B1258">
            <v>1765.48</v>
          </cell>
        </row>
        <row r="1259">
          <cell r="A1259">
            <v>39022565</v>
          </cell>
          <cell r="B1259">
            <v>576.87</v>
          </cell>
        </row>
        <row r="1260">
          <cell r="A1260">
            <v>39022566</v>
          </cell>
          <cell r="B1260">
            <v>590.04</v>
          </cell>
        </row>
        <row r="1261">
          <cell r="A1261">
            <v>39022567</v>
          </cell>
          <cell r="B1261">
            <v>634.03</v>
          </cell>
        </row>
        <row r="1262">
          <cell r="A1262">
            <v>39022568</v>
          </cell>
          <cell r="B1262">
            <v>697.04</v>
          </cell>
        </row>
        <row r="1263">
          <cell r="A1263">
            <v>39022569</v>
          </cell>
          <cell r="B1263">
            <v>787.4</v>
          </cell>
        </row>
        <row r="1264">
          <cell r="A1264">
            <v>39022570</v>
          </cell>
          <cell r="B1264">
            <v>844.77</v>
          </cell>
        </row>
        <row r="1265">
          <cell r="A1265">
            <v>39022571</v>
          </cell>
          <cell r="B1265">
            <v>979.63</v>
          </cell>
        </row>
        <row r="1266">
          <cell r="A1266">
            <v>39022572</v>
          </cell>
          <cell r="B1266">
            <v>1064.04</v>
          </cell>
        </row>
        <row r="1267">
          <cell r="A1267">
            <v>39022573</v>
          </cell>
          <cell r="B1267">
            <v>1146.08</v>
          </cell>
        </row>
        <row r="1268">
          <cell r="A1268">
            <v>39022574</v>
          </cell>
          <cell r="B1268">
            <v>1404.07</v>
          </cell>
        </row>
        <row r="1269">
          <cell r="A1269">
            <v>39022575</v>
          </cell>
          <cell r="B1269">
            <v>1675.13</v>
          </cell>
        </row>
        <row r="1270">
          <cell r="A1270">
            <v>39022576</v>
          </cell>
          <cell r="B1270">
            <v>599.19000000000005</v>
          </cell>
        </row>
        <row r="1271">
          <cell r="A1271">
            <v>39022577</v>
          </cell>
          <cell r="B1271">
            <v>643.19000000000005</v>
          </cell>
        </row>
        <row r="1272">
          <cell r="A1272">
            <v>39022578</v>
          </cell>
          <cell r="B1272">
            <v>706.19</v>
          </cell>
        </row>
        <row r="1273">
          <cell r="A1273">
            <v>39022579</v>
          </cell>
          <cell r="B1273">
            <v>796.55</v>
          </cell>
        </row>
        <row r="1274">
          <cell r="A1274">
            <v>39022580</v>
          </cell>
          <cell r="B1274">
            <v>861.92</v>
          </cell>
        </row>
        <row r="1275">
          <cell r="A1275">
            <v>39022581</v>
          </cell>
          <cell r="B1275">
            <v>926.12</v>
          </cell>
        </row>
        <row r="1276">
          <cell r="A1276">
            <v>39022582</v>
          </cell>
          <cell r="B1276">
            <v>1024.81</v>
          </cell>
        </row>
        <row r="1277">
          <cell r="A1277">
            <v>39022583</v>
          </cell>
          <cell r="B1277">
            <v>1131.27</v>
          </cell>
        </row>
        <row r="1278">
          <cell r="A1278">
            <v>39022584</v>
          </cell>
          <cell r="B1278">
            <v>1244.75</v>
          </cell>
        </row>
        <row r="1279">
          <cell r="A1279">
            <v>39022585</v>
          </cell>
          <cell r="B1279">
            <v>1469.46</v>
          </cell>
        </row>
        <row r="1280">
          <cell r="A1280">
            <v>39022586</v>
          </cell>
          <cell r="B1280">
            <v>1610.91</v>
          </cell>
        </row>
        <row r="1281">
          <cell r="A1281">
            <v>39022587</v>
          </cell>
          <cell r="B1281">
            <v>1990.28</v>
          </cell>
        </row>
        <row r="1282">
          <cell r="A1282">
            <v>39022588</v>
          </cell>
          <cell r="B1282">
            <v>658.64</v>
          </cell>
        </row>
        <row r="1283">
          <cell r="A1283">
            <v>39022589</v>
          </cell>
          <cell r="B1283">
            <v>713.33</v>
          </cell>
        </row>
        <row r="1284">
          <cell r="A1284">
            <v>39022590</v>
          </cell>
          <cell r="B1284">
            <v>779.91</v>
          </cell>
        </row>
        <row r="1285">
          <cell r="A1285">
            <v>39022591</v>
          </cell>
          <cell r="B1285">
            <v>853.44</v>
          </cell>
        </row>
        <row r="1286">
          <cell r="A1286">
            <v>39022592</v>
          </cell>
          <cell r="B1286">
            <v>1107.6300000000001</v>
          </cell>
        </row>
        <row r="1287">
          <cell r="A1287">
            <v>39022593</v>
          </cell>
          <cell r="B1287">
            <v>1319.66</v>
          </cell>
        </row>
        <row r="1288">
          <cell r="A1288">
            <v>39022594</v>
          </cell>
          <cell r="B1288">
            <v>1527.22</v>
          </cell>
        </row>
        <row r="1289">
          <cell r="A1289">
            <v>39022595</v>
          </cell>
          <cell r="B1289">
            <v>1925.98</v>
          </cell>
        </row>
        <row r="1290">
          <cell r="A1290">
            <v>39022596</v>
          </cell>
          <cell r="B1290">
            <v>2567.96</v>
          </cell>
        </row>
        <row r="1291">
          <cell r="A1291">
            <v>39022597</v>
          </cell>
          <cell r="B1291">
            <v>746.62</v>
          </cell>
        </row>
        <row r="1292">
          <cell r="A1292">
            <v>39022598</v>
          </cell>
          <cell r="B1292">
            <v>891.65</v>
          </cell>
        </row>
        <row r="1293">
          <cell r="A1293">
            <v>39022599</v>
          </cell>
          <cell r="B1293">
            <v>1075.93</v>
          </cell>
        </row>
        <row r="1294">
          <cell r="A1294">
            <v>39022600</v>
          </cell>
          <cell r="B1294">
            <v>1225.73</v>
          </cell>
        </row>
        <row r="1295">
          <cell r="A1295">
            <v>39022601</v>
          </cell>
          <cell r="B1295">
            <v>1373.16</v>
          </cell>
        </row>
        <row r="1296">
          <cell r="A1296">
            <v>39022602</v>
          </cell>
          <cell r="B1296">
            <v>1773.81</v>
          </cell>
        </row>
        <row r="1297">
          <cell r="A1297">
            <v>39022603</v>
          </cell>
          <cell r="B1297">
            <v>2171.4299999999998</v>
          </cell>
        </row>
        <row r="1298">
          <cell r="A1298">
            <v>39022604</v>
          </cell>
          <cell r="B1298">
            <v>2841.41</v>
          </cell>
        </row>
        <row r="1299">
          <cell r="A1299">
            <v>39022605</v>
          </cell>
          <cell r="B1299">
            <v>3098.39</v>
          </cell>
        </row>
        <row r="1300">
          <cell r="A1300">
            <v>39022606</v>
          </cell>
          <cell r="B1300">
            <v>980.81</v>
          </cell>
        </row>
        <row r="1301">
          <cell r="A1301">
            <v>39022607</v>
          </cell>
          <cell r="B1301">
            <v>1113.97</v>
          </cell>
        </row>
        <row r="1302">
          <cell r="A1302">
            <v>39022608</v>
          </cell>
          <cell r="B1302">
            <v>1368.4</v>
          </cell>
        </row>
        <row r="1303">
          <cell r="A1303">
            <v>39022609</v>
          </cell>
          <cell r="B1303">
            <v>1904.57</v>
          </cell>
        </row>
        <row r="1304">
          <cell r="A1304">
            <v>39022610</v>
          </cell>
          <cell r="B1304">
            <v>2142.35</v>
          </cell>
        </row>
        <row r="1305">
          <cell r="A1305">
            <v>39022611</v>
          </cell>
          <cell r="B1305">
            <v>2575.11</v>
          </cell>
        </row>
        <row r="1306">
          <cell r="A1306">
            <v>39022612</v>
          </cell>
          <cell r="B1306">
            <v>3300.32</v>
          </cell>
        </row>
        <row r="1307">
          <cell r="A1307">
            <v>39022480</v>
          </cell>
          <cell r="B1307">
            <v>303.52999999999997</v>
          </cell>
        </row>
        <row r="1308">
          <cell r="A1308">
            <v>39022481</v>
          </cell>
          <cell r="B1308">
            <v>310.66000000000003</v>
          </cell>
        </row>
        <row r="1309">
          <cell r="A1309">
            <v>39022482</v>
          </cell>
          <cell r="B1309">
            <v>316.58</v>
          </cell>
        </row>
        <row r="1310">
          <cell r="A1310">
            <v>39022483</v>
          </cell>
          <cell r="B1310">
            <v>329.68</v>
          </cell>
        </row>
        <row r="1311">
          <cell r="A1311">
            <v>39022484</v>
          </cell>
          <cell r="B1311">
            <v>398.64</v>
          </cell>
        </row>
        <row r="1312">
          <cell r="A1312">
            <v>39022485</v>
          </cell>
          <cell r="B1312">
            <v>472.56</v>
          </cell>
        </row>
        <row r="1313">
          <cell r="A1313">
            <v>39022486</v>
          </cell>
          <cell r="B1313">
            <v>517.52</v>
          </cell>
        </row>
        <row r="1314">
          <cell r="A1314">
            <v>39022487</v>
          </cell>
          <cell r="B1314">
            <v>537.72</v>
          </cell>
        </row>
        <row r="1315">
          <cell r="A1315">
            <v>39022488</v>
          </cell>
          <cell r="B1315">
            <v>616.20000000000005</v>
          </cell>
        </row>
        <row r="1316">
          <cell r="A1316">
            <v>39022489</v>
          </cell>
          <cell r="B1316">
            <v>979.63</v>
          </cell>
        </row>
        <row r="1317">
          <cell r="A1317">
            <v>39022490</v>
          </cell>
          <cell r="B1317">
            <v>1168.67</v>
          </cell>
        </row>
        <row r="1318">
          <cell r="A1318">
            <v>39022491</v>
          </cell>
          <cell r="B1318">
            <v>312.67</v>
          </cell>
        </row>
        <row r="1319">
          <cell r="A1319">
            <v>39022492</v>
          </cell>
          <cell r="B1319">
            <v>319.81</v>
          </cell>
        </row>
        <row r="1320">
          <cell r="A1320">
            <v>39022493</v>
          </cell>
          <cell r="B1320">
            <v>325.74</v>
          </cell>
        </row>
        <row r="1321">
          <cell r="A1321">
            <v>39022494</v>
          </cell>
          <cell r="B1321">
            <v>338.83</v>
          </cell>
        </row>
        <row r="1322">
          <cell r="A1322">
            <v>39022495</v>
          </cell>
          <cell r="B1322">
            <v>407.79</v>
          </cell>
        </row>
        <row r="1323">
          <cell r="A1323">
            <v>39022496</v>
          </cell>
          <cell r="B1323">
            <v>465.48</v>
          </cell>
        </row>
        <row r="1324">
          <cell r="A1324">
            <v>39022497</v>
          </cell>
          <cell r="B1324">
            <v>526.67999999999995</v>
          </cell>
        </row>
        <row r="1325">
          <cell r="A1325">
            <v>39022498</v>
          </cell>
          <cell r="B1325">
            <v>546.89</v>
          </cell>
        </row>
        <row r="1326">
          <cell r="A1326">
            <v>39022499</v>
          </cell>
          <cell r="B1326">
            <v>625.36</v>
          </cell>
        </row>
        <row r="1327">
          <cell r="A1327">
            <v>39022500</v>
          </cell>
          <cell r="B1327">
            <v>876.19</v>
          </cell>
        </row>
        <row r="1328">
          <cell r="A1328">
            <v>39022501</v>
          </cell>
          <cell r="B1328">
            <v>1011.73</v>
          </cell>
        </row>
        <row r="1329">
          <cell r="A1329">
            <v>39022502</v>
          </cell>
          <cell r="B1329">
            <v>1209.0899999999999</v>
          </cell>
        </row>
        <row r="1330">
          <cell r="A1330">
            <v>39022503</v>
          </cell>
          <cell r="B1330">
            <v>372.12</v>
          </cell>
        </row>
        <row r="1331">
          <cell r="A1331">
            <v>39022504</v>
          </cell>
          <cell r="B1331">
            <v>380.44</v>
          </cell>
        </row>
        <row r="1332">
          <cell r="A1332">
            <v>39022505</v>
          </cell>
          <cell r="B1332">
            <v>392.32</v>
          </cell>
        </row>
        <row r="1333">
          <cell r="A1333">
            <v>39022506</v>
          </cell>
          <cell r="B1333">
            <v>521.91</v>
          </cell>
        </row>
        <row r="1334">
          <cell r="A1334">
            <v>39022507</v>
          </cell>
          <cell r="B1334">
            <v>603.95000000000005</v>
          </cell>
        </row>
        <row r="1335">
          <cell r="A1335">
            <v>39022508</v>
          </cell>
          <cell r="B1335">
            <v>706.19</v>
          </cell>
        </row>
        <row r="1336">
          <cell r="A1336">
            <v>39022509</v>
          </cell>
          <cell r="B1336">
            <v>812</v>
          </cell>
        </row>
        <row r="1337">
          <cell r="A1337">
            <v>39022510</v>
          </cell>
          <cell r="B1337">
            <v>1064.04</v>
          </cell>
        </row>
        <row r="1338">
          <cell r="A1338">
            <v>39022511</v>
          </cell>
          <cell r="B1338">
            <v>1595.47</v>
          </cell>
        </row>
        <row r="1339">
          <cell r="A1339">
            <v>39022512</v>
          </cell>
          <cell r="B1339">
            <v>357.86</v>
          </cell>
        </row>
        <row r="1340">
          <cell r="A1340">
            <v>39022513</v>
          </cell>
          <cell r="B1340">
            <v>447.02</v>
          </cell>
        </row>
        <row r="1341">
          <cell r="A1341">
            <v>39022514</v>
          </cell>
          <cell r="B1341">
            <v>538.57000000000005</v>
          </cell>
        </row>
        <row r="1342">
          <cell r="A1342">
            <v>39022515</v>
          </cell>
          <cell r="B1342">
            <v>605.13</v>
          </cell>
        </row>
        <row r="1343">
          <cell r="A1343">
            <v>39022516</v>
          </cell>
          <cell r="B1343">
            <v>762.07</v>
          </cell>
        </row>
        <row r="1344">
          <cell r="A1344">
            <v>39022517</v>
          </cell>
          <cell r="B1344">
            <v>903.55</v>
          </cell>
        </row>
        <row r="1345">
          <cell r="A1345">
            <v>39022518</v>
          </cell>
          <cell r="B1345">
            <v>920.19</v>
          </cell>
        </row>
        <row r="1346">
          <cell r="A1346">
            <v>39022519</v>
          </cell>
          <cell r="B1346">
            <v>1519.38</v>
          </cell>
        </row>
        <row r="1347">
          <cell r="A1347">
            <v>39022520</v>
          </cell>
          <cell r="B1347">
            <v>1687.01</v>
          </cell>
        </row>
        <row r="1348">
          <cell r="A1348">
            <v>39022521</v>
          </cell>
          <cell r="B1348">
            <v>608.67999999999995</v>
          </cell>
        </row>
        <row r="1349">
          <cell r="A1349">
            <v>39022522</v>
          </cell>
          <cell r="B1349">
            <v>645.57000000000005</v>
          </cell>
        </row>
        <row r="1350">
          <cell r="A1350">
            <v>39022523</v>
          </cell>
          <cell r="B1350">
            <v>756.13</v>
          </cell>
        </row>
        <row r="1351">
          <cell r="A1351">
            <v>39022524</v>
          </cell>
          <cell r="B1351">
            <v>1041.46</v>
          </cell>
        </row>
        <row r="1352">
          <cell r="A1352">
            <v>39022525</v>
          </cell>
          <cell r="B1352">
            <v>1147.26</v>
          </cell>
        </row>
        <row r="1353">
          <cell r="A1353">
            <v>39022526</v>
          </cell>
          <cell r="B1353">
            <v>1238.8</v>
          </cell>
        </row>
        <row r="1354">
          <cell r="A1354">
            <v>39022527</v>
          </cell>
          <cell r="B1354">
            <v>2000.87</v>
          </cell>
        </row>
        <row r="1355">
          <cell r="A1355">
            <v>95007112</v>
          </cell>
          <cell r="B1355">
            <v>1048.79</v>
          </cell>
        </row>
        <row r="1356">
          <cell r="A1356">
            <v>95007113</v>
          </cell>
          <cell r="B1356">
            <v>1080.82</v>
          </cell>
        </row>
        <row r="1357">
          <cell r="A1357">
            <v>95007114</v>
          </cell>
          <cell r="B1357">
            <v>1113.26</v>
          </cell>
        </row>
        <row r="1358">
          <cell r="A1358">
            <v>95007115</v>
          </cell>
          <cell r="B1358">
            <v>1222.42</v>
          </cell>
        </row>
        <row r="1359">
          <cell r="A1359">
            <v>95007108</v>
          </cell>
          <cell r="B1359">
            <v>1103.3</v>
          </cell>
        </row>
        <row r="1360">
          <cell r="A1360">
            <v>95007109</v>
          </cell>
          <cell r="B1360">
            <v>1270.68</v>
          </cell>
        </row>
        <row r="1361">
          <cell r="A1361">
            <v>95007110</v>
          </cell>
          <cell r="B1361">
            <v>1141.27</v>
          </cell>
        </row>
        <row r="1362">
          <cell r="A1362">
            <v>95007111</v>
          </cell>
          <cell r="B1362">
            <v>1300.06</v>
          </cell>
        </row>
        <row r="1363">
          <cell r="A1363">
            <v>90065300</v>
          </cell>
          <cell r="B1363">
            <v>698.74</v>
          </cell>
        </row>
        <row r="1364">
          <cell r="A1364">
            <v>90065301</v>
          </cell>
          <cell r="B1364">
            <v>756.77</v>
          </cell>
        </row>
        <row r="1365">
          <cell r="A1365">
            <v>90065302</v>
          </cell>
          <cell r="B1365">
            <v>821.76</v>
          </cell>
        </row>
        <row r="1366">
          <cell r="A1366">
            <v>90065303</v>
          </cell>
          <cell r="B1366">
            <v>941.31</v>
          </cell>
        </row>
        <row r="1367">
          <cell r="A1367">
            <v>90065304</v>
          </cell>
          <cell r="B1367">
            <v>967.99</v>
          </cell>
        </row>
        <row r="1368">
          <cell r="A1368">
            <v>90065305</v>
          </cell>
          <cell r="B1368">
            <v>1068.98</v>
          </cell>
        </row>
        <row r="1369">
          <cell r="A1369">
            <v>90065306</v>
          </cell>
          <cell r="B1369">
            <v>1168.79</v>
          </cell>
        </row>
        <row r="1370">
          <cell r="A1370">
            <v>90065307</v>
          </cell>
          <cell r="B1370">
            <v>1257.02</v>
          </cell>
        </row>
        <row r="1371">
          <cell r="A1371">
            <v>90065308</v>
          </cell>
          <cell r="B1371">
            <v>1720.13</v>
          </cell>
        </row>
        <row r="1372">
          <cell r="A1372">
            <v>90065309</v>
          </cell>
          <cell r="B1372">
            <v>1888.41</v>
          </cell>
        </row>
        <row r="1373">
          <cell r="A1373">
            <v>90065310</v>
          </cell>
          <cell r="B1373">
            <v>1955.75</v>
          </cell>
        </row>
        <row r="1374">
          <cell r="A1374">
            <v>90065311</v>
          </cell>
          <cell r="B1374">
            <v>723.1</v>
          </cell>
        </row>
        <row r="1375">
          <cell r="A1375">
            <v>90065312</v>
          </cell>
          <cell r="B1375">
            <v>778.82</v>
          </cell>
        </row>
        <row r="1376">
          <cell r="A1376">
            <v>90065313</v>
          </cell>
          <cell r="B1376">
            <v>800.87</v>
          </cell>
        </row>
        <row r="1377">
          <cell r="A1377">
            <v>90065314</v>
          </cell>
          <cell r="B1377">
            <v>891.39</v>
          </cell>
        </row>
        <row r="1378">
          <cell r="A1378">
            <v>90065315</v>
          </cell>
          <cell r="B1378">
            <v>940.15</v>
          </cell>
        </row>
        <row r="1379">
          <cell r="A1379">
            <v>90065316</v>
          </cell>
          <cell r="B1379">
            <v>1063.17</v>
          </cell>
        </row>
        <row r="1380">
          <cell r="A1380">
            <v>90065317</v>
          </cell>
          <cell r="B1380">
            <v>1270.94</v>
          </cell>
        </row>
        <row r="1381">
          <cell r="A1381">
            <v>90065318</v>
          </cell>
          <cell r="B1381">
            <v>1462.46</v>
          </cell>
        </row>
        <row r="1382">
          <cell r="A1382">
            <v>90065319</v>
          </cell>
          <cell r="B1382">
            <v>1741</v>
          </cell>
        </row>
        <row r="1383">
          <cell r="A1383">
            <v>90065320</v>
          </cell>
          <cell r="B1383">
            <v>800.87</v>
          </cell>
        </row>
        <row r="1384">
          <cell r="A1384">
            <v>90065321</v>
          </cell>
          <cell r="B1384">
            <v>864.7</v>
          </cell>
        </row>
        <row r="1385">
          <cell r="A1385">
            <v>90065322</v>
          </cell>
          <cell r="B1385">
            <v>915.78</v>
          </cell>
        </row>
        <row r="1386">
          <cell r="A1386">
            <v>90065323</v>
          </cell>
          <cell r="B1386">
            <v>948.28</v>
          </cell>
        </row>
        <row r="1387">
          <cell r="A1387">
            <v>90065324</v>
          </cell>
          <cell r="B1387">
            <v>1137.44</v>
          </cell>
        </row>
        <row r="1388">
          <cell r="A1388">
            <v>90065325</v>
          </cell>
          <cell r="B1388">
            <v>1385.84</v>
          </cell>
        </row>
        <row r="1389">
          <cell r="A1389">
            <v>90065326</v>
          </cell>
          <cell r="B1389">
            <v>1605.21</v>
          </cell>
        </row>
        <row r="1390">
          <cell r="A1390">
            <v>90065327</v>
          </cell>
          <cell r="B1390">
            <v>820.6</v>
          </cell>
        </row>
        <row r="1391">
          <cell r="A1391">
            <v>90065328</v>
          </cell>
          <cell r="B1391">
            <v>842.65</v>
          </cell>
        </row>
        <row r="1392">
          <cell r="A1392">
            <v>90065329</v>
          </cell>
          <cell r="B1392">
            <v>897.19</v>
          </cell>
        </row>
        <row r="1393">
          <cell r="A1393">
            <v>90065330</v>
          </cell>
          <cell r="B1393">
            <v>1039.97</v>
          </cell>
        </row>
        <row r="1394">
          <cell r="A1394">
            <v>90065331</v>
          </cell>
          <cell r="B1394">
            <v>1260.5</v>
          </cell>
        </row>
        <row r="1395">
          <cell r="A1395">
            <v>90065332</v>
          </cell>
          <cell r="B1395">
            <v>1486.83</v>
          </cell>
        </row>
        <row r="1396">
          <cell r="A1396">
            <v>90065333</v>
          </cell>
          <cell r="B1396">
            <v>1595.93</v>
          </cell>
        </row>
        <row r="1397">
          <cell r="A1397">
            <v>90065334</v>
          </cell>
          <cell r="B1397">
            <v>1295.31</v>
          </cell>
        </row>
        <row r="1398">
          <cell r="A1398">
            <v>90065335</v>
          </cell>
          <cell r="B1398">
            <v>1342.9</v>
          </cell>
        </row>
        <row r="1399">
          <cell r="A1399">
            <v>90065336</v>
          </cell>
          <cell r="B1399">
            <v>1637.71</v>
          </cell>
        </row>
        <row r="1400">
          <cell r="A1400">
            <v>90065387</v>
          </cell>
          <cell r="B1400">
            <v>623.28</v>
          </cell>
        </row>
        <row r="1401">
          <cell r="A1401">
            <v>90065388</v>
          </cell>
          <cell r="B1401">
            <v>672.04</v>
          </cell>
        </row>
        <row r="1402">
          <cell r="A1402">
            <v>90065389</v>
          </cell>
          <cell r="B1402">
            <v>724.26</v>
          </cell>
        </row>
        <row r="1403">
          <cell r="A1403">
            <v>90065390</v>
          </cell>
          <cell r="B1403">
            <v>766.04</v>
          </cell>
        </row>
        <row r="1404">
          <cell r="A1404">
            <v>90065391</v>
          </cell>
          <cell r="B1404">
            <v>863.54</v>
          </cell>
        </row>
        <row r="1405">
          <cell r="A1405">
            <v>90065392</v>
          </cell>
          <cell r="B1405">
            <v>952.91</v>
          </cell>
        </row>
        <row r="1406">
          <cell r="A1406">
            <v>90065393</v>
          </cell>
          <cell r="B1406">
            <v>1043.46</v>
          </cell>
        </row>
        <row r="1407">
          <cell r="A1407">
            <v>90065394</v>
          </cell>
          <cell r="B1407">
            <v>1122.3900000000001</v>
          </cell>
        </row>
        <row r="1408">
          <cell r="A1408">
            <v>90065395</v>
          </cell>
          <cell r="B1408">
            <v>1532.09</v>
          </cell>
        </row>
        <row r="1409">
          <cell r="A1409">
            <v>90065396</v>
          </cell>
          <cell r="B1409">
            <v>1676.02</v>
          </cell>
        </row>
        <row r="1410">
          <cell r="A1410">
            <v>90065397</v>
          </cell>
          <cell r="B1410">
            <v>1730.55</v>
          </cell>
        </row>
        <row r="1411">
          <cell r="A1411">
            <v>90065398</v>
          </cell>
          <cell r="B1411">
            <v>1942.97</v>
          </cell>
        </row>
        <row r="1412">
          <cell r="A1412">
            <v>90065399</v>
          </cell>
          <cell r="B1412">
            <v>2183.21</v>
          </cell>
        </row>
        <row r="1413">
          <cell r="A1413">
            <v>90065400</v>
          </cell>
          <cell r="B1413">
            <v>2573.23</v>
          </cell>
        </row>
        <row r="1414">
          <cell r="A1414">
            <v>90065401</v>
          </cell>
          <cell r="B1414">
            <v>647.66</v>
          </cell>
        </row>
        <row r="1415">
          <cell r="A1415">
            <v>90065402</v>
          </cell>
          <cell r="B1415">
            <v>696.4</v>
          </cell>
        </row>
        <row r="1416">
          <cell r="A1416">
            <v>90065403</v>
          </cell>
          <cell r="B1416">
            <v>713.8</v>
          </cell>
        </row>
        <row r="1417">
          <cell r="A1417">
            <v>90065404</v>
          </cell>
          <cell r="B1417">
            <v>795.06</v>
          </cell>
        </row>
        <row r="1418">
          <cell r="A1418">
            <v>90065405</v>
          </cell>
          <cell r="B1418">
            <v>835.67</v>
          </cell>
        </row>
        <row r="1419">
          <cell r="A1419">
            <v>90065406</v>
          </cell>
          <cell r="B1419">
            <v>944.8</v>
          </cell>
        </row>
        <row r="1420">
          <cell r="A1420">
            <v>90065407</v>
          </cell>
          <cell r="B1420">
            <v>1136.3</v>
          </cell>
        </row>
        <row r="1421">
          <cell r="A1421">
            <v>90065408</v>
          </cell>
          <cell r="B1421">
            <v>1305.75</v>
          </cell>
        </row>
        <row r="1422">
          <cell r="A1422">
            <v>90065409</v>
          </cell>
          <cell r="B1422">
            <v>1554.15</v>
          </cell>
        </row>
        <row r="1423">
          <cell r="A1423">
            <v>90065410</v>
          </cell>
          <cell r="B1423">
            <v>1852.44</v>
          </cell>
        </row>
        <row r="1424">
          <cell r="A1424">
            <v>90065411</v>
          </cell>
          <cell r="B1424">
            <v>2309.7399999999998</v>
          </cell>
        </row>
        <row r="1425">
          <cell r="A1425">
            <v>90065412</v>
          </cell>
          <cell r="B1425">
            <v>2754.27</v>
          </cell>
        </row>
        <row r="1426">
          <cell r="A1426">
            <v>90065413</v>
          </cell>
          <cell r="B1426">
            <v>2780.96</v>
          </cell>
        </row>
        <row r="1427">
          <cell r="A1427">
            <v>90065414</v>
          </cell>
          <cell r="B1427">
            <v>3003.82</v>
          </cell>
        </row>
        <row r="1428">
          <cell r="A1428">
            <v>90065415</v>
          </cell>
          <cell r="B1428">
            <v>710.32</v>
          </cell>
        </row>
        <row r="1429">
          <cell r="A1429">
            <v>90065416</v>
          </cell>
          <cell r="B1429">
            <v>770.67</v>
          </cell>
        </row>
        <row r="1430">
          <cell r="A1430">
            <v>90065417</v>
          </cell>
          <cell r="B1430">
            <v>819.43</v>
          </cell>
        </row>
        <row r="1431">
          <cell r="A1431">
            <v>90065418</v>
          </cell>
          <cell r="B1431">
            <v>846.13</v>
          </cell>
        </row>
        <row r="1432">
          <cell r="A1432">
            <v>90065419</v>
          </cell>
          <cell r="B1432">
            <v>1017.91</v>
          </cell>
        </row>
        <row r="1433">
          <cell r="A1433">
            <v>90065420</v>
          </cell>
          <cell r="B1433">
            <v>1237.27</v>
          </cell>
        </row>
        <row r="1434">
          <cell r="A1434">
            <v>90065421</v>
          </cell>
          <cell r="B1434">
            <v>1433.43</v>
          </cell>
        </row>
        <row r="1435">
          <cell r="A1435">
            <v>90065422</v>
          </cell>
          <cell r="B1435">
            <v>1550.66</v>
          </cell>
        </row>
        <row r="1436">
          <cell r="A1436">
            <v>90065423</v>
          </cell>
          <cell r="B1436">
            <v>1887.26</v>
          </cell>
        </row>
        <row r="1437">
          <cell r="A1437">
            <v>90065424</v>
          </cell>
          <cell r="B1437">
            <v>2097.34</v>
          </cell>
        </row>
        <row r="1438">
          <cell r="A1438">
            <v>90065425</v>
          </cell>
          <cell r="B1438">
            <v>2792.59</v>
          </cell>
        </row>
        <row r="1439">
          <cell r="A1439">
            <v>90065426</v>
          </cell>
          <cell r="B1439">
            <v>2850.62</v>
          </cell>
        </row>
        <row r="1440">
          <cell r="A1440">
            <v>90065427</v>
          </cell>
          <cell r="B1440">
            <v>2955.07</v>
          </cell>
        </row>
        <row r="1441">
          <cell r="A1441">
            <v>90065428</v>
          </cell>
          <cell r="B1441">
            <v>3003.82</v>
          </cell>
        </row>
        <row r="1442">
          <cell r="A1442">
            <v>90065429</v>
          </cell>
          <cell r="B1442">
            <v>3159.35</v>
          </cell>
        </row>
        <row r="1443">
          <cell r="A1443">
            <v>90065430</v>
          </cell>
          <cell r="B1443">
            <v>733.55</v>
          </cell>
        </row>
        <row r="1444">
          <cell r="A1444">
            <v>90065431</v>
          </cell>
          <cell r="B1444">
            <v>753.26</v>
          </cell>
        </row>
        <row r="1445">
          <cell r="A1445">
            <v>90065432</v>
          </cell>
          <cell r="B1445">
            <v>806.67</v>
          </cell>
        </row>
        <row r="1446">
          <cell r="A1446">
            <v>90065433</v>
          </cell>
          <cell r="B1446">
            <v>933.18</v>
          </cell>
        </row>
        <row r="1447">
          <cell r="A1447">
            <v>90065434</v>
          </cell>
          <cell r="B1447">
            <v>1166.48</v>
          </cell>
        </row>
        <row r="1448">
          <cell r="A1448">
            <v>90065435</v>
          </cell>
          <cell r="B1448">
            <v>1340.58</v>
          </cell>
        </row>
        <row r="1449">
          <cell r="A1449">
            <v>90065436</v>
          </cell>
          <cell r="B1449">
            <v>1456.63</v>
          </cell>
        </row>
        <row r="1450">
          <cell r="A1450">
            <v>90065437</v>
          </cell>
          <cell r="B1450">
            <v>1795.56</v>
          </cell>
        </row>
        <row r="1451">
          <cell r="A1451">
            <v>90065438</v>
          </cell>
          <cell r="B1451">
            <v>1997.53</v>
          </cell>
        </row>
        <row r="1452">
          <cell r="A1452">
            <v>90065439</v>
          </cell>
          <cell r="B1452">
            <v>2221.5100000000002</v>
          </cell>
        </row>
        <row r="1453">
          <cell r="A1453">
            <v>90065440</v>
          </cell>
          <cell r="B1453">
            <v>2424.63</v>
          </cell>
        </row>
        <row r="1454">
          <cell r="A1454">
            <v>90065441</v>
          </cell>
          <cell r="B1454">
            <v>2611.5300000000002</v>
          </cell>
        </row>
        <row r="1455">
          <cell r="A1455">
            <v>90065442</v>
          </cell>
          <cell r="B1455">
            <v>3008.47</v>
          </cell>
        </row>
        <row r="1456">
          <cell r="A1456">
            <v>90065443</v>
          </cell>
          <cell r="B1456">
            <v>3264.96</v>
          </cell>
        </row>
        <row r="1457">
          <cell r="A1457">
            <v>90065444</v>
          </cell>
          <cell r="B1457">
            <v>3583</v>
          </cell>
        </row>
        <row r="1458">
          <cell r="A1458">
            <v>90065445</v>
          </cell>
          <cell r="B1458">
            <v>3836.03</v>
          </cell>
        </row>
        <row r="1459">
          <cell r="A1459">
            <v>90065446</v>
          </cell>
          <cell r="B1459">
            <v>4979.3</v>
          </cell>
        </row>
        <row r="1460">
          <cell r="A1460">
            <v>90065447</v>
          </cell>
          <cell r="B1460">
            <v>6836.37</v>
          </cell>
        </row>
        <row r="1461">
          <cell r="A1461">
            <v>90065448</v>
          </cell>
          <cell r="B1461">
            <v>1168.79</v>
          </cell>
        </row>
        <row r="1462">
          <cell r="A1462">
            <v>90065449</v>
          </cell>
          <cell r="B1462">
            <v>1202.45</v>
          </cell>
        </row>
        <row r="1463">
          <cell r="A1463">
            <v>90065450</v>
          </cell>
          <cell r="B1463">
            <v>1481.01</v>
          </cell>
        </row>
        <row r="1464">
          <cell r="A1464">
            <v>90065451</v>
          </cell>
          <cell r="B1464">
            <v>2009.12</v>
          </cell>
        </row>
        <row r="1465">
          <cell r="A1465">
            <v>90065452</v>
          </cell>
          <cell r="B1465">
            <v>2135.64</v>
          </cell>
        </row>
        <row r="1466">
          <cell r="A1466">
            <v>90065453</v>
          </cell>
          <cell r="B1466">
            <v>2273.75</v>
          </cell>
        </row>
        <row r="1467">
          <cell r="A1467">
            <v>90065454</v>
          </cell>
          <cell r="B1467">
            <v>2495.46</v>
          </cell>
        </row>
        <row r="1468">
          <cell r="A1468">
            <v>90065455</v>
          </cell>
          <cell r="B1468">
            <v>2750.8</v>
          </cell>
        </row>
        <row r="1469">
          <cell r="A1469">
            <v>90065456</v>
          </cell>
          <cell r="B1469">
            <v>2989.9</v>
          </cell>
        </row>
        <row r="1470">
          <cell r="A1470">
            <v>90065457</v>
          </cell>
          <cell r="B1470">
            <v>3261.49</v>
          </cell>
        </row>
        <row r="1471">
          <cell r="A1471">
            <v>1133486</v>
          </cell>
          <cell r="B1471">
            <v>1076.6300000000001</v>
          </cell>
        </row>
        <row r="1472">
          <cell r="A1472">
            <v>1133539</v>
          </cell>
          <cell r="B1472">
            <v>1378.95</v>
          </cell>
        </row>
        <row r="1473">
          <cell r="A1473">
            <v>1133540</v>
          </cell>
          <cell r="B1473">
            <v>1719.54</v>
          </cell>
        </row>
        <row r="1474">
          <cell r="A1474">
            <v>1133541</v>
          </cell>
          <cell r="B1474">
            <v>2083.4699999999998</v>
          </cell>
        </row>
        <row r="1475">
          <cell r="A1475">
            <v>1133542</v>
          </cell>
          <cell r="B1475">
            <v>2191.12</v>
          </cell>
        </row>
        <row r="1476">
          <cell r="A1476">
            <v>1133543</v>
          </cell>
          <cell r="B1476">
            <v>2314.1799999999998</v>
          </cell>
        </row>
        <row r="1477">
          <cell r="A1477">
            <v>1133544</v>
          </cell>
          <cell r="B1477">
            <v>2672.36</v>
          </cell>
        </row>
        <row r="1478">
          <cell r="A1478">
            <v>1133545</v>
          </cell>
          <cell r="B1478">
            <v>2690.35</v>
          </cell>
        </row>
        <row r="1479">
          <cell r="A1479">
            <v>1133546</v>
          </cell>
          <cell r="B1479">
            <v>2802.85</v>
          </cell>
        </row>
        <row r="1480">
          <cell r="A1480">
            <v>1133547</v>
          </cell>
          <cell r="B1480">
            <v>3107.87</v>
          </cell>
        </row>
        <row r="1481">
          <cell r="A1481">
            <v>1133548</v>
          </cell>
          <cell r="B1481">
            <v>3197.28</v>
          </cell>
        </row>
        <row r="1482">
          <cell r="A1482">
            <v>1133549</v>
          </cell>
          <cell r="B1482">
            <v>3316.37</v>
          </cell>
        </row>
        <row r="1483">
          <cell r="A1483">
            <v>1133550</v>
          </cell>
          <cell r="B1483">
            <v>3417.86</v>
          </cell>
        </row>
        <row r="1484">
          <cell r="A1484">
            <v>1133551</v>
          </cell>
          <cell r="B1484">
            <v>3161.22</v>
          </cell>
        </row>
        <row r="1485">
          <cell r="A1485">
            <v>1133552</v>
          </cell>
          <cell r="B1485">
            <v>3217.27</v>
          </cell>
        </row>
        <row r="1486">
          <cell r="A1486">
            <v>1133553</v>
          </cell>
          <cell r="B1486">
            <v>3293.08</v>
          </cell>
        </row>
        <row r="1487">
          <cell r="A1487">
            <v>1133554</v>
          </cell>
          <cell r="B1487">
            <v>3637.89</v>
          </cell>
        </row>
        <row r="1488">
          <cell r="A1488">
            <v>1133555</v>
          </cell>
          <cell r="B1488">
            <v>3728</v>
          </cell>
        </row>
        <row r="1489">
          <cell r="A1489">
            <v>1133557</v>
          </cell>
          <cell r="B1489">
            <v>3847.77</v>
          </cell>
        </row>
        <row r="1490">
          <cell r="A1490">
            <v>1133558</v>
          </cell>
          <cell r="B1490">
            <v>3949.95</v>
          </cell>
        </row>
        <row r="1491">
          <cell r="A1491">
            <v>1133559</v>
          </cell>
          <cell r="B1491">
            <v>4215.41</v>
          </cell>
        </row>
        <row r="1492">
          <cell r="A1492">
            <v>1133560</v>
          </cell>
          <cell r="B1492">
            <v>4301.12</v>
          </cell>
        </row>
        <row r="1493">
          <cell r="A1493">
            <v>1133561</v>
          </cell>
          <cell r="B1493">
            <v>4365.9399999999996</v>
          </cell>
        </row>
        <row r="1494">
          <cell r="A1494">
            <v>1133562</v>
          </cell>
          <cell r="B1494">
            <v>4681.8500000000004</v>
          </cell>
        </row>
        <row r="1495">
          <cell r="A1495">
            <v>1133563</v>
          </cell>
          <cell r="B1495">
            <v>4746.68</v>
          </cell>
        </row>
        <row r="1496">
          <cell r="A1496">
            <v>1133564</v>
          </cell>
          <cell r="B1496">
            <v>4795.03</v>
          </cell>
        </row>
        <row r="1497">
          <cell r="A1497">
            <v>1133565</v>
          </cell>
          <cell r="B1497">
            <v>4865.3500000000004</v>
          </cell>
        </row>
        <row r="1498">
          <cell r="A1498">
            <v>1133566</v>
          </cell>
          <cell r="B1498">
            <v>4976.33</v>
          </cell>
        </row>
        <row r="1499">
          <cell r="A1499">
            <v>1133567</v>
          </cell>
          <cell r="B1499">
            <v>5203.78</v>
          </cell>
        </row>
        <row r="1500">
          <cell r="A1500">
            <v>1133570</v>
          </cell>
          <cell r="B1500">
            <v>5293.9</v>
          </cell>
        </row>
        <row r="1501">
          <cell r="A1501">
            <v>1133571</v>
          </cell>
          <cell r="B1501">
            <v>5666.88</v>
          </cell>
        </row>
        <row r="1502">
          <cell r="A1502">
            <v>1133572</v>
          </cell>
          <cell r="B1502">
            <v>5731.72</v>
          </cell>
        </row>
        <row r="1503">
          <cell r="A1503">
            <v>1133573</v>
          </cell>
          <cell r="B1503">
            <v>5832.81</v>
          </cell>
        </row>
        <row r="1504">
          <cell r="A1504">
            <v>1133574</v>
          </cell>
          <cell r="B1504">
            <v>6198.88</v>
          </cell>
        </row>
        <row r="1505">
          <cell r="A1505">
            <v>1133575</v>
          </cell>
          <cell r="B1505">
            <v>6307.67</v>
          </cell>
        </row>
        <row r="1506">
          <cell r="A1506">
            <v>1133576</v>
          </cell>
          <cell r="B1506">
            <v>6382.39</v>
          </cell>
        </row>
        <row r="1507">
          <cell r="A1507">
            <v>1133577</v>
          </cell>
          <cell r="B1507">
            <v>6474.69</v>
          </cell>
        </row>
        <row r="1508">
          <cell r="A1508">
            <v>1133578</v>
          </cell>
          <cell r="B1508">
            <v>6562.6</v>
          </cell>
        </row>
        <row r="1509">
          <cell r="A1509">
            <v>1133579</v>
          </cell>
          <cell r="B1509">
            <v>6651.6</v>
          </cell>
        </row>
        <row r="1510">
          <cell r="A1510">
            <v>1133580</v>
          </cell>
          <cell r="B1510">
            <v>7147.43</v>
          </cell>
        </row>
        <row r="1511">
          <cell r="A1511">
            <v>1133581</v>
          </cell>
          <cell r="B1511">
            <v>7212.27</v>
          </cell>
        </row>
        <row r="1512">
          <cell r="A1512">
            <v>1133582</v>
          </cell>
          <cell r="B1512">
            <v>7324.34</v>
          </cell>
        </row>
        <row r="1513">
          <cell r="A1513">
            <v>1133583</v>
          </cell>
          <cell r="B1513">
            <v>7401.26</v>
          </cell>
        </row>
        <row r="1514">
          <cell r="A1514">
            <v>1133584</v>
          </cell>
          <cell r="B1514">
            <v>7490.26</v>
          </cell>
        </row>
        <row r="1515">
          <cell r="A1515">
            <v>1133585</v>
          </cell>
          <cell r="B1515">
            <v>7539.72</v>
          </cell>
        </row>
        <row r="1516">
          <cell r="A1516">
            <v>1133586</v>
          </cell>
          <cell r="B1516">
            <v>7808.72</v>
          </cell>
        </row>
        <row r="1517">
          <cell r="A1517">
            <v>1133587</v>
          </cell>
          <cell r="B1517">
            <v>7859.26</v>
          </cell>
        </row>
        <row r="1518">
          <cell r="A1518">
            <v>1133667</v>
          </cell>
          <cell r="B1518">
            <v>1309.1600000000001</v>
          </cell>
        </row>
        <row r="1519">
          <cell r="A1519">
            <v>1133668</v>
          </cell>
          <cell r="B1519">
            <v>1769.72</v>
          </cell>
        </row>
        <row r="1520">
          <cell r="A1520">
            <v>1133669</v>
          </cell>
          <cell r="B1520">
            <v>2077.4899999999998</v>
          </cell>
        </row>
        <row r="1521">
          <cell r="A1521">
            <v>1133670</v>
          </cell>
          <cell r="B1521">
            <v>2153.8000000000002</v>
          </cell>
        </row>
        <row r="1522">
          <cell r="A1522">
            <v>1133671</v>
          </cell>
          <cell r="B1522">
            <v>2624.67</v>
          </cell>
        </row>
        <row r="1523">
          <cell r="A1523">
            <v>1133672</v>
          </cell>
          <cell r="B1523">
            <v>2673.05</v>
          </cell>
        </row>
        <row r="1524">
          <cell r="A1524">
            <v>1133673</v>
          </cell>
          <cell r="B1524">
            <v>2905.42</v>
          </cell>
        </row>
        <row r="1525">
          <cell r="A1525">
            <v>1133674</v>
          </cell>
          <cell r="B1525">
            <v>3098.06</v>
          </cell>
        </row>
        <row r="1526">
          <cell r="A1526">
            <v>1133675</v>
          </cell>
          <cell r="B1526">
            <v>3144.69</v>
          </cell>
        </row>
        <row r="1527">
          <cell r="A1527">
            <v>1133676</v>
          </cell>
          <cell r="B1527">
            <v>3417.96</v>
          </cell>
        </row>
        <row r="1528">
          <cell r="A1528">
            <v>1133677</v>
          </cell>
          <cell r="B1528">
            <v>3558.47</v>
          </cell>
        </row>
        <row r="1529">
          <cell r="A1529">
            <v>1133678</v>
          </cell>
          <cell r="B1529">
            <v>3937.44</v>
          </cell>
        </row>
        <row r="1530">
          <cell r="A1530">
            <v>1133679</v>
          </cell>
          <cell r="B1530">
            <v>4080</v>
          </cell>
        </row>
        <row r="1531">
          <cell r="A1531">
            <v>1133680</v>
          </cell>
          <cell r="B1531">
            <v>4218.46</v>
          </cell>
        </row>
        <row r="1532">
          <cell r="A1532">
            <v>1133681</v>
          </cell>
          <cell r="B1532">
            <v>4574.66</v>
          </cell>
        </row>
        <row r="1533">
          <cell r="A1533">
            <v>1133682</v>
          </cell>
          <cell r="B1533">
            <v>4714.1499999999996</v>
          </cell>
        </row>
        <row r="1534">
          <cell r="A1534">
            <v>1133683</v>
          </cell>
          <cell r="B1534">
            <v>4846.22</v>
          </cell>
        </row>
        <row r="1535">
          <cell r="A1535">
            <v>1133684</v>
          </cell>
          <cell r="B1535">
            <v>4987.76</v>
          </cell>
        </row>
        <row r="1536">
          <cell r="A1536">
            <v>1133685</v>
          </cell>
          <cell r="B1536">
            <v>5454.02</v>
          </cell>
        </row>
        <row r="1537">
          <cell r="A1537">
            <v>1133686</v>
          </cell>
          <cell r="B1537">
            <v>5593.5</v>
          </cell>
        </row>
        <row r="1538">
          <cell r="A1538">
            <v>1133687</v>
          </cell>
          <cell r="B1538">
            <v>6061.47</v>
          </cell>
        </row>
        <row r="1539">
          <cell r="A1539">
            <v>1133688</v>
          </cell>
          <cell r="B1539">
            <v>6200.95</v>
          </cell>
        </row>
        <row r="1540">
          <cell r="A1540">
            <v>1133689</v>
          </cell>
          <cell r="B1540">
            <v>6343.52</v>
          </cell>
        </row>
        <row r="1541">
          <cell r="A1541">
            <v>1133690</v>
          </cell>
          <cell r="B1541">
            <v>6483</v>
          </cell>
        </row>
        <row r="1542">
          <cell r="A1542">
            <v>1133691</v>
          </cell>
          <cell r="B1542">
            <v>6973.2</v>
          </cell>
        </row>
        <row r="1543">
          <cell r="A1543">
            <v>1133692</v>
          </cell>
          <cell r="B1543">
            <v>7113.71</v>
          </cell>
        </row>
        <row r="1544">
          <cell r="A1544">
            <v>1133693</v>
          </cell>
          <cell r="B1544">
            <v>7255.25</v>
          </cell>
        </row>
        <row r="1545">
          <cell r="A1545">
            <v>1133694</v>
          </cell>
          <cell r="B1545">
            <v>7395.76</v>
          </cell>
        </row>
        <row r="1546">
          <cell r="A1546">
            <v>1133695</v>
          </cell>
          <cell r="B1546">
            <v>7716.12</v>
          </cell>
        </row>
        <row r="1547">
          <cell r="A1547">
            <v>1133696</v>
          </cell>
          <cell r="B1547">
            <v>8431.18</v>
          </cell>
        </row>
        <row r="1548">
          <cell r="A1548">
            <v>1133707</v>
          </cell>
          <cell r="B1548">
            <v>8607.59</v>
          </cell>
        </row>
        <row r="1549">
          <cell r="A1549">
            <v>1133708</v>
          </cell>
          <cell r="B1549">
            <v>8711.18</v>
          </cell>
        </row>
        <row r="1550">
          <cell r="A1550">
            <v>1133710</v>
          </cell>
          <cell r="B1550">
            <v>8851.69</v>
          </cell>
        </row>
        <row r="1551">
          <cell r="A1551">
            <v>1133711</v>
          </cell>
          <cell r="B1551">
            <v>9584.09</v>
          </cell>
        </row>
        <row r="1552">
          <cell r="A1552">
            <v>1133712</v>
          </cell>
          <cell r="B1552">
            <v>9643.85</v>
          </cell>
        </row>
        <row r="1553">
          <cell r="A1553">
            <v>1133713</v>
          </cell>
          <cell r="B1553">
            <v>9784.36</v>
          </cell>
        </row>
        <row r="1554">
          <cell r="A1554">
            <v>1133714</v>
          </cell>
          <cell r="B1554">
            <v>9923.84</v>
          </cell>
        </row>
        <row r="1555">
          <cell r="A1555">
            <v>1133715</v>
          </cell>
          <cell r="B1555">
            <v>10360.02</v>
          </cell>
        </row>
        <row r="1556">
          <cell r="A1556">
            <v>1133790</v>
          </cell>
          <cell r="B1556">
            <v>1745.77</v>
          </cell>
        </row>
        <row r="1557">
          <cell r="A1557">
            <v>1133791</v>
          </cell>
          <cell r="B1557">
            <v>2160.08</v>
          </cell>
        </row>
        <row r="1558">
          <cell r="A1558">
            <v>1133792</v>
          </cell>
          <cell r="B1558">
            <v>2628.55</v>
          </cell>
        </row>
        <row r="1559">
          <cell r="A1559">
            <v>1133793</v>
          </cell>
          <cell r="B1559">
            <v>2881.46</v>
          </cell>
        </row>
        <row r="1560">
          <cell r="A1560">
            <v>1133794</v>
          </cell>
          <cell r="B1560">
            <v>3170.47</v>
          </cell>
        </row>
        <row r="1561">
          <cell r="A1561">
            <v>1133795</v>
          </cell>
          <cell r="B1561">
            <v>3463.79</v>
          </cell>
        </row>
        <row r="1562">
          <cell r="A1562">
            <v>1133796</v>
          </cell>
          <cell r="B1562">
            <v>3777.93</v>
          </cell>
        </row>
        <row r="1563">
          <cell r="A1563">
            <v>1133807</v>
          </cell>
          <cell r="B1563">
            <v>3937.52</v>
          </cell>
        </row>
        <row r="1564">
          <cell r="A1564">
            <v>1133809</v>
          </cell>
          <cell r="B1564">
            <v>4275.8999999999996</v>
          </cell>
        </row>
        <row r="1565">
          <cell r="A1565">
            <v>1133810</v>
          </cell>
          <cell r="B1565">
            <v>4712.8100000000004</v>
          </cell>
        </row>
        <row r="1566">
          <cell r="A1566">
            <v>1133811</v>
          </cell>
          <cell r="B1566">
            <v>5099.6000000000004</v>
          </cell>
        </row>
        <row r="1567">
          <cell r="A1567">
            <v>1133812</v>
          </cell>
          <cell r="B1567">
            <v>5829.69</v>
          </cell>
        </row>
        <row r="1568">
          <cell r="A1568">
            <v>1133813</v>
          </cell>
          <cell r="B1568">
            <v>6109.68</v>
          </cell>
        </row>
        <row r="1569">
          <cell r="A1569">
            <v>1133814</v>
          </cell>
          <cell r="B1569">
            <v>6370.18</v>
          </cell>
        </row>
        <row r="1570">
          <cell r="A1570">
            <v>1133815</v>
          </cell>
          <cell r="B1570">
            <v>6926.02</v>
          </cell>
        </row>
        <row r="1571">
          <cell r="A1571">
            <v>1133816</v>
          </cell>
          <cell r="B1571">
            <v>7183.45</v>
          </cell>
        </row>
        <row r="1572">
          <cell r="A1572">
            <v>1133817</v>
          </cell>
          <cell r="B1572">
            <v>7621.76</v>
          </cell>
        </row>
        <row r="1573">
          <cell r="A1573">
            <v>1133818</v>
          </cell>
          <cell r="B1573">
            <v>8061.97</v>
          </cell>
        </row>
        <row r="1574">
          <cell r="A1574">
            <v>1133820</v>
          </cell>
          <cell r="B1574">
            <v>8318.3700000000008</v>
          </cell>
        </row>
        <row r="1575">
          <cell r="A1575">
            <v>1133821</v>
          </cell>
          <cell r="B1575">
            <v>9050.7199999999993</v>
          </cell>
        </row>
        <row r="1576">
          <cell r="A1576">
            <v>1133822</v>
          </cell>
          <cell r="B1576">
            <v>9090.01</v>
          </cell>
        </row>
        <row r="1577">
          <cell r="A1577">
            <v>1133823</v>
          </cell>
          <cell r="B1577">
            <v>9639.01</v>
          </cell>
        </row>
        <row r="1578">
          <cell r="A1578">
            <v>1133824</v>
          </cell>
          <cell r="B1578">
            <v>10647.59</v>
          </cell>
        </row>
        <row r="1579">
          <cell r="A1579">
            <v>1133825</v>
          </cell>
          <cell r="B1579">
            <v>10869.86</v>
          </cell>
        </row>
        <row r="1580">
          <cell r="A1580">
            <v>1133826</v>
          </cell>
          <cell r="B1580">
            <v>11092.13</v>
          </cell>
        </row>
        <row r="1581">
          <cell r="A1581">
            <v>1133827</v>
          </cell>
          <cell r="B1581">
            <v>11314.16</v>
          </cell>
        </row>
        <row r="1582">
          <cell r="A1582">
            <v>1133921</v>
          </cell>
          <cell r="B1582">
            <v>1803.4</v>
          </cell>
        </row>
        <row r="1583">
          <cell r="A1583">
            <v>1133922</v>
          </cell>
          <cell r="B1583">
            <v>2098.7800000000002</v>
          </cell>
        </row>
        <row r="1584">
          <cell r="A1584">
            <v>1133923</v>
          </cell>
          <cell r="B1584">
            <v>2699.71</v>
          </cell>
        </row>
        <row r="1585">
          <cell r="A1585">
            <v>1133924</v>
          </cell>
          <cell r="B1585">
            <v>3049.66</v>
          </cell>
        </row>
        <row r="1586">
          <cell r="A1586">
            <v>1133925</v>
          </cell>
          <cell r="B1586">
            <v>3200.24</v>
          </cell>
        </row>
        <row r="1587">
          <cell r="A1587">
            <v>1133926</v>
          </cell>
          <cell r="B1587">
            <v>3641.8</v>
          </cell>
        </row>
        <row r="1588">
          <cell r="A1588">
            <v>1133957</v>
          </cell>
          <cell r="B1588">
            <v>3931.48</v>
          </cell>
        </row>
        <row r="1589">
          <cell r="A1589">
            <v>1133958</v>
          </cell>
          <cell r="B1589">
            <v>4178.96</v>
          </cell>
        </row>
        <row r="1590">
          <cell r="A1590">
            <v>1133959</v>
          </cell>
          <cell r="B1590">
            <v>4190.8500000000004</v>
          </cell>
        </row>
        <row r="1591">
          <cell r="A1591">
            <v>1133960</v>
          </cell>
          <cell r="B1591">
            <v>4868.3900000000003</v>
          </cell>
        </row>
        <row r="1592">
          <cell r="A1592">
            <v>1133961</v>
          </cell>
          <cell r="B1592">
            <v>5361.99</v>
          </cell>
        </row>
        <row r="1593">
          <cell r="A1593">
            <v>1133962</v>
          </cell>
          <cell r="B1593">
            <v>5943.7</v>
          </cell>
        </row>
        <row r="1594">
          <cell r="A1594">
            <v>1133963</v>
          </cell>
          <cell r="B1594">
            <v>6240.91</v>
          </cell>
        </row>
        <row r="1595">
          <cell r="A1595">
            <v>1133964</v>
          </cell>
          <cell r="B1595">
            <v>6450.72</v>
          </cell>
        </row>
        <row r="1596">
          <cell r="A1596">
            <v>1133966</v>
          </cell>
          <cell r="B1596">
            <v>6501.7</v>
          </cell>
        </row>
        <row r="1597">
          <cell r="A1597">
            <v>1133977</v>
          </cell>
          <cell r="B1597">
            <v>7211.08</v>
          </cell>
        </row>
        <row r="1598">
          <cell r="A1598">
            <v>1133978</v>
          </cell>
          <cell r="B1598">
            <v>7418.26</v>
          </cell>
        </row>
        <row r="1599">
          <cell r="A1599">
            <v>1133979</v>
          </cell>
          <cell r="B1599">
            <v>7876.7</v>
          </cell>
        </row>
        <row r="1600">
          <cell r="A1600">
            <v>1133980</v>
          </cell>
          <cell r="B1600">
            <v>8732.73</v>
          </cell>
        </row>
        <row r="1601">
          <cell r="A1601">
            <v>1133981</v>
          </cell>
          <cell r="B1601">
            <v>10080.120000000001</v>
          </cell>
        </row>
        <row r="1602">
          <cell r="A1602">
            <v>1133982</v>
          </cell>
          <cell r="B1602">
            <v>10308.129999999999</v>
          </cell>
        </row>
        <row r="1603">
          <cell r="A1603">
            <v>1133983</v>
          </cell>
          <cell r="B1603">
            <v>10539.14</v>
          </cell>
        </row>
        <row r="1604">
          <cell r="A1604">
            <v>90053395</v>
          </cell>
          <cell r="B1604">
            <v>169.76</v>
          </cell>
        </row>
        <row r="1605">
          <cell r="A1605">
            <v>39300031</v>
          </cell>
          <cell r="B1605">
            <v>160.04</v>
          </cell>
        </row>
        <row r="1606">
          <cell r="A1606">
            <v>90053396</v>
          </cell>
          <cell r="B1606">
            <v>600.12</v>
          </cell>
        </row>
        <row r="1607">
          <cell r="A1607">
            <v>48837360</v>
          </cell>
          <cell r="B1607">
            <v>542.74</v>
          </cell>
        </row>
        <row r="1608">
          <cell r="A1608">
            <v>48837361</v>
          </cell>
          <cell r="B1608">
            <v>602.54</v>
          </cell>
        </row>
        <row r="1609">
          <cell r="A1609">
            <v>40984802</v>
          </cell>
          <cell r="B1609">
            <v>693.39</v>
          </cell>
        </row>
        <row r="1610">
          <cell r="A1610">
            <v>40984803</v>
          </cell>
          <cell r="B1610">
            <v>745.98</v>
          </cell>
        </row>
        <row r="1611">
          <cell r="A1611">
            <v>40984804</v>
          </cell>
          <cell r="B1611">
            <v>781.85</v>
          </cell>
        </row>
        <row r="1612">
          <cell r="A1612">
            <v>48837364</v>
          </cell>
          <cell r="B1612">
            <v>913.35</v>
          </cell>
        </row>
        <row r="1613">
          <cell r="A1613">
            <v>48837365</v>
          </cell>
          <cell r="B1613">
            <v>967.14</v>
          </cell>
        </row>
        <row r="1614">
          <cell r="A1614">
            <v>48837366</v>
          </cell>
          <cell r="B1614">
            <v>533.20000000000005</v>
          </cell>
        </row>
        <row r="1615">
          <cell r="A1615">
            <v>48837367</v>
          </cell>
          <cell r="B1615">
            <v>571.44000000000005</v>
          </cell>
        </row>
        <row r="1616">
          <cell r="A1616">
            <v>48837368</v>
          </cell>
          <cell r="B1616">
            <v>667.09</v>
          </cell>
        </row>
        <row r="1617">
          <cell r="A1617">
            <v>40984808</v>
          </cell>
          <cell r="B1617">
            <v>691</v>
          </cell>
        </row>
        <row r="1618">
          <cell r="A1618">
            <v>40984815</v>
          </cell>
          <cell r="B1618">
            <v>706.54</v>
          </cell>
        </row>
        <row r="1619">
          <cell r="A1619">
            <v>48837370</v>
          </cell>
          <cell r="B1619">
            <v>836.85</v>
          </cell>
        </row>
        <row r="1620">
          <cell r="A1620">
            <v>48837371</v>
          </cell>
          <cell r="B1620">
            <v>891.84</v>
          </cell>
        </row>
        <row r="1621">
          <cell r="A1621">
            <v>40981888</v>
          </cell>
          <cell r="B1621">
            <v>1035.31</v>
          </cell>
        </row>
        <row r="1622">
          <cell r="A1622">
            <v>29130437</v>
          </cell>
          <cell r="B1622">
            <v>1820.74</v>
          </cell>
        </row>
        <row r="1623">
          <cell r="A1623">
            <v>29130438</v>
          </cell>
          <cell r="B1623">
            <v>2038.31</v>
          </cell>
        </row>
        <row r="1624">
          <cell r="A1624">
            <v>29130495</v>
          </cell>
          <cell r="B1624">
            <v>1479.63</v>
          </cell>
        </row>
        <row r="1625">
          <cell r="A1625">
            <v>29130062</v>
          </cell>
          <cell r="B1625">
            <v>738.8</v>
          </cell>
        </row>
        <row r="1626">
          <cell r="A1626">
            <v>29130063</v>
          </cell>
          <cell r="B1626">
            <v>771.1</v>
          </cell>
        </row>
        <row r="1627">
          <cell r="A1627">
            <v>29130064</v>
          </cell>
          <cell r="B1627">
            <v>818.27</v>
          </cell>
        </row>
        <row r="1628">
          <cell r="A1628">
            <v>29130065</v>
          </cell>
          <cell r="B1628">
            <v>668.04</v>
          </cell>
        </row>
        <row r="1629">
          <cell r="A1629">
            <v>29130066</v>
          </cell>
          <cell r="B1629">
            <v>699.07</v>
          </cell>
        </row>
        <row r="1630">
          <cell r="A1630">
            <v>29130067</v>
          </cell>
          <cell r="B1630">
            <v>746.27</v>
          </cell>
        </row>
        <row r="1631">
          <cell r="A1631">
            <v>42200727</v>
          </cell>
          <cell r="B1631">
            <v>46.01</v>
          </cell>
        </row>
        <row r="1632">
          <cell r="A1632">
            <v>39019788</v>
          </cell>
          <cell r="B1632">
            <v>8.35</v>
          </cell>
        </row>
        <row r="1633">
          <cell r="A1633">
            <v>1041318</v>
          </cell>
          <cell r="B1633">
            <v>16.149999999999999</v>
          </cell>
        </row>
        <row r="1634">
          <cell r="A1634">
            <v>240354</v>
          </cell>
          <cell r="B1634">
            <v>8.35</v>
          </cell>
        </row>
        <row r="1635">
          <cell r="A1635">
            <v>1063985</v>
          </cell>
          <cell r="B1635">
            <v>15.55</v>
          </cell>
        </row>
        <row r="1636">
          <cell r="A1636">
            <v>39019415</v>
          </cell>
          <cell r="B1636">
            <v>8.35</v>
          </cell>
        </row>
        <row r="1637">
          <cell r="A1637">
            <v>39019530</v>
          </cell>
          <cell r="B1637">
            <v>11.94</v>
          </cell>
        </row>
        <row r="1638">
          <cell r="A1638">
            <v>40980710</v>
          </cell>
          <cell r="B1638">
            <v>19.13</v>
          </cell>
        </row>
        <row r="1639">
          <cell r="A1639">
            <v>40980203</v>
          </cell>
          <cell r="B1639">
            <v>71.73</v>
          </cell>
        </row>
        <row r="1640">
          <cell r="A1640">
            <v>40980204</v>
          </cell>
          <cell r="B1640">
            <v>76.510000000000005</v>
          </cell>
        </row>
        <row r="1641">
          <cell r="A1641">
            <v>18040868</v>
          </cell>
          <cell r="B1641">
            <v>115.96</v>
          </cell>
        </row>
        <row r="1642">
          <cell r="A1642">
            <v>1068052</v>
          </cell>
          <cell r="B1642">
            <v>60.97</v>
          </cell>
        </row>
        <row r="1643">
          <cell r="A1643">
            <v>1076873</v>
          </cell>
          <cell r="B1643">
            <v>34.659999999999997</v>
          </cell>
        </row>
        <row r="1644">
          <cell r="A1644">
            <v>11037848</v>
          </cell>
          <cell r="B1644">
            <v>9.57</v>
          </cell>
        </row>
        <row r="1645">
          <cell r="A1645">
            <v>19071460</v>
          </cell>
          <cell r="B1645">
            <v>34.659999999999997</v>
          </cell>
        </row>
        <row r="1646">
          <cell r="A1646">
            <v>11037759</v>
          </cell>
          <cell r="B1646">
            <v>62.17</v>
          </cell>
        </row>
        <row r="1647">
          <cell r="A1647">
            <v>11037760</v>
          </cell>
          <cell r="B1647">
            <v>66.95</v>
          </cell>
        </row>
        <row r="1648">
          <cell r="A1648">
            <v>1076688</v>
          </cell>
          <cell r="B1648">
            <v>13.17</v>
          </cell>
        </row>
        <row r="1649">
          <cell r="A1649">
            <v>11037177</v>
          </cell>
          <cell r="B1649">
            <v>26.29</v>
          </cell>
        </row>
        <row r="1650">
          <cell r="A1650">
            <v>18040795</v>
          </cell>
          <cell r="B1650">
            <v>111.19</v>
          </cell>
        </row>
        <row r="1651">
          <cell r="A1651">
            <v>18040796</v>
          </cell>
          <cell r="B1651">
            <v>120.75</v>
          </cell>
        </row>
        <row r="1652">
          <cell r="A1652">
            <v>18040802</v>
          </cell>
          <cell r="B1652">
            <v>80.11</v>
          </cell>
        </row>
        <row r="1653">
          <cell r="A1653">
            <v>1068180</v>
          </cell>
          <cell r="B1653">
            <v>38.26</v>
          </cell>
        </row>
        <row r="1654">
          <cell r="A1654">
            <v>29127257</v>
          </cell>
          <cell r="B1654">
            <v>521.25</v>
          </cell>
        </row>
        <row r="1655">
          <cell r="A1655">
            <v>116025</v>
          </cell>
          <cell r="B1655">
            <v>101.57</v>
          </cell>
        </row>
        <row r="1656">
          <cell r="A1656">
            <v>39019517</v>
          </cell>
          <cell r="B1656">
            <v>61.98</v>
          </cell>
        </row>
        <row r="1657">
          <cell r="A1657">
            <v>534217</v>
          </cell>
          <cell r="B1657">
            <v>159.01</v>
          </cell>
        </row>
        <row r="1658">
          <cell r="A1658">
            <v>29130422</v>
          </cell>
          <cell r="B1658">
            <v>208</v>
          </cell>
        </row>
        <row r="1659">
          <cell r="A1659">
            <v>90053396</v>
          </cell>
          <cell r="B1659">
            <v>600.12</v>
          </cell>
        </row>
        <row r="1660">
          <cell r="A1660">
            <v>90053395</v>
          </cell>
          <cell r="B1660">
            <v>169.76</v>
          </cell>
        </row>
        <row r="1661">
          <cell r="A1661">
            <v>39300031</v>
          </cell>
          <cell r="B1661">
            <v>160.04</v>
          </cell>
        </row>
        <row r="1662">
          <cell r="A1662">
            <v>19071802</v>
          </cell>
          <cell r="B1662">
            <v>16.739999999999998</v>
          </cell>
        </row>
        <row r="1663">
          <cell r="A1663">
            <v>19071803</v>
          </cell>
          <cell r="B1663">
            <v>31.09</v>
          </cell>
        </row>
        <row r="1664">
          <cell r="A1664">
            <v>18040846</v>
          </cell>
          <cell r="B1664">
            <v>307.08</v>
          </cell>
        </row>
        <row r="1665">
          <cell r="A1665">
            <v>90052823</v>
          </cell>
          <cell r="B1665">
            <v>57.39</v>
          </cell>
        </row>
        <row r="1666">
          <cell r="A1666">
            <v>90050611</v>
          </cell>
          <cell r="B1666">
            <v>294.32</v>
          </cell>
        </row>
        <row r="1667">
          <cell r="A1667">
            <v>95000220</v>
          </cell>
          <cell r="B1667">
            <v>321.58</v>
          </cell>
        </row>
        <row r="1668">
          <cell r="A1668">
            <v>95000290</v>
          </cell>
          <cell r="B1668">
            <v>69.36</v>
          </cell>
        </row>
        <row r="1669">
          <cell r="A1669">
            <v>95000294</v>
          </cell>
          <cell r="B1669">
            <v>72.94</v>
          </cell>
        </row>
        <row r="1670">
          <cell r="A1670">
            <v>40980709</v>
          </cell>
          <cell r="B1670">
            <v>1.2</v>
          </cell>
        </row>
        <row r="1671">
          <cell r="A1671">
            <v>90068174</v>
          </cell>
          <cell r="B1671">
            <v>5.74</v>
          </cell>
        </row>
        <row r="1672">
          <cell r="A1672">
            <v>90068175</v>
          </cell>
          <cell r="B1672">
            <v>8.09</v>
          </cell>
        </row>
        <row r="1673">
          <cell r="A1673">
            <v>90068176</v>
          </cell>
          <cell r="B1673">
            <v>10.51</v>
          </cell>
        </row>
        <row r="1674">
          <cell r="A1674">
            <v>90033494</v>
          </cell>
          <cell r="B1674">
            <v>181.02</v>
          </cell>
        </row>
        <row r="1675">
          <cell r="A1675">
            <v>90039543</v>
          </cell>
          <cell r="B1675">
            <v>229.01</v>
          </cell>
        </row>
        <row r="1676">
          <cell r="A1676">
            <v>40980058</v>
          </cell>
          <cell r="B1676">
            <v>29.89</v>
          </cell>
        </row>
        <row r="1677">
          <cell r="A1677">
            <v>40980708</v>
          </cell>
          <cell r="B1677">
            <v>70.540000000000006</v>
          </cell>
        </row>
        <row r="1678">
          <cell r="A1678">
            <v>39020537</v>
          </cell>
          <cell r="B1678">
            <v>52.59</v>
          </cell>
        </row>
        <row r="1679">
          <cell r="A1679">
            <v>39020536</v>
          </cell>
          <cell r="B1679">
            <v>84.87</v>
          </cell>
        </row>
        <row r="1680">
          <cell r="A1680">
            <v>90009554</v>
          </cell>
          <cell r="B1680">
            <v>261.83999999999997</v>
          </cell>
        </row>
        <row r="1681">
          <cell r="A1681">
            <v>90009553</v>
          </cell>
          <cell r="B1681">
            <v>272</v>
          </cell>
        </row>
        <row r="1682">
          <cell r="A1682">
            <v>1096713</v>
          </cell>
          <cell r="B1682">
            <v>2.19</v>
          </cell>
        </row>
        <row r="1683">
          <cell r="A1683">
            <v>40980887</v>
          </cell>
          <cell r="B1683">
            <v>474.62</v>
          </cell>
        </row>
        <row r="1684">
          <cell r="A1684">
            <v>40980889</v>
          </cell>
          <cell r="B1684">
            <v>474.62</v>
          </cell>
        </row>
        <row r="1685">
          <cell r="A1685">
            <v>40980891</v>
          </cell>
          <cell r="B1685">
            <v>474.62</v>
          </cell>
        </row>
        <row r="1686">
          <cell r="A1686">
            <v>40980893</v>
          </cell>
          <cell r="B1686">
            <v>474.62</v>
          </cell>
        </row>
        <row r="1687">
          <cell r="A1687">
            <v>40980895</v>
          </cell>
          <cell r="B1687">
            <v>474.62</v>
          </cell>
        </row>
        <row r="1688">
          <cell r="A1688">
            <v>40980897</v>
          </cell>
          <cell r="B1688">
            <v>474.62</v>
          </cell>
        </row>
        <row r="1689">
          <cell r="A1689">
            <v>40980899</v>
          </cell>
          <cell r="B1689">
            <v>474.62</v>
          </cell>
        </row>
        <row r="1690">
          <cell r="A1690">
            <v>40984811</v>
          </cell>
          <cell r="B1690">
            <v>474.62</v>
          </cell>
        </row>
        <row r="1691">
          <cell r="A1691">
            <v>90052649</v>
          </cell>
          <cell r="B1691">
            <v>517.64</v>
          </cell>
        </row>
        <row r="1692">
          <cell r="A1692">
            <v>533291</v>
          </cell>
          <cell r="B1692">
            <v>41.85</v>
          </cell>
        </row>
        <row r="1693">
          <cell r="A1693">
            <v>533299</v>
          </cell>
          <cell r="B1693">
            <v>105.22</v>
          </cell>
        </row>
        <row r="1694">
          <cell r="A1694">
            <v>531100</v>
          </cell>
          <cell r="B1694">
            <v>96.82</v>
          </cell>
        </row>
        <row r="1695">
          <cell r="A1695">
            <v>40980055</v>
          </cell>
          <cell r="B1695">
            <v>68.13</v>
          </cell>
        </row>
        <row r="1696">
          <cell r="A1696">
            <v>40980056</v>
          </cell>
          <cell r="B1696">
            <v>25.11</v>
          </cell>
        </row>
        <row r="1697">
          <cell r="A1697">
            <v>42200727</v>
          </cell>
          <cell r="B1697">
            <v>46.01</v>
          </cell>
        </row>
        <row r="1698">
          <cell r="A1698">
            <v>42204021</v>
          </cell>
          <cell r="B1698">
            <v>100.72</v>
          </cell>
        </row>
        <row r="1699">
          <cell r="A1699">
            <v>90053395</v>
          </cell>
          <cell r="B1699">
            <v>169.76</v>
          </cell>
        </row>
        <row r="1700">
          <cell r="A1700">
            <v>39300031</v>
          </cell>
          <cell r="B1700">
            <v>160.04</v>
          </cell>
        </row>
        <row r="1701">
          <cell r="A1701">
            <v>90053396</v>
          </cell>
          <cell r="B1701">
            <v>600.12</v>
          </cell>
        </row>
        <row r="1702">
          <cell r="A1702">
            <v>90065490</v>
          </cell>
          <cell r="B1702">
            <v>137.77000000000001</v>
          </cell>
        </row>
        <row r="1703">
          <cell r="A1703">
            <v>90065491</v>
          </cell>
          <cell r="B1703">
            <v>150.65</v>
          </cell>
        </row>
        <row r="1704">
          <cell r="A1704">
            <v>90065492</v>
          </cell>
          <cell r="B1704">
            <v>158.57</v>
          </cell>
        </row>
        <row r="1705">
          <cell r="A1705">
            <v>90065493</v>
          </cell>
          <cell r="B1705">
            <v>165.4</v>
          </cell>
        </row>
        <row r="1706">
          <cell r="A1706" t="str">
            <v>S100D Kühlmantel horizontal</v>
          </cell>
        </row>
        <row r="1712">
          <cell r="A1712">
            <v>90065494</v>
          </cell>
          <cell r="B1712">
            <v>90.25</v>
          </cell>
        </row>
        <row r="1713">
          <cell r="A1713">
            <v>90066478</v>
          </cell>
          <cell r="B1713">
            <v>137.77000000000001</v>
          </cell>
        </row>
        <row r="1714">
          <cell r="A1714">
            <v>90066479</v>
          </cell>
          <cell r="B1714">
            <v>149.93</v>
          </cell>
        </row>
        <row r="1715">
          <cell r="A1715">
            <v>90066480</v>
          </cell>
          <cell r="B1715">
            <v>157.81</v>
          </cell>
        </row>
        <row r="1716">
          <cell r="A1716">
            <v>90066481</v>
          </cell>
          <cell r="B1716">
            <v>164.61</v>
          </cell>
        </row>
        <row r="1717">
          <cell r="A1717">
            <v>90066482</v>
          </cell>
          <cell r="B1717">
            <v>197.9</v>
          </cell>
        </row>
        <row r="1718">
          <cell r="A1718" t="str">
            <v>UPA100C Kühlmantel vertikal</v>
          </cell>
        </row>
        <row r="1723">
          <cell r="A1723">
            <v>90065494</v>
          </cell>
          <cell r="B1723">
            <v>90.25</v>
          </cell>
        </row>
        <row r="1724">
          <cell r="A1724">
            <v>39020740</v>
          </cell>
          <cell r="B1724">
            <v>20.32</v>
          </cell>
        </row>
        <row r="1725">
          <cell r="A1725">
            <v>39020741</v>
          </cell>
          <cell r="B1725">
            <v>27.5</v>
          </cell>
        </row>
        <row r="1726">
          <cell r="A1726">
            <v>39021157</v>
          </cell>
          <cell r="B1726">
            <v>64.55</v>
          </cell>
        </row>
        <row r="1727">
          <cell r="A1727">
            <v>39021158</v>
          </cell>
          <cell r="B1727">
            <v>72.94</v>
          </cell>
        </row>
        <row r="1728">
          <cell r="A1728">
            <v>1116438</v>
          </cell>
          <cell r="B1728">
            <v>235.61</v>
          </cell>
        </row>
        <row r="1729">
          <cell r="A1729">
            <v>1116439</v>
          </cell>
          <cell r="B1729">
            <v>262.79000000000002</v>
          </cell>
        </row>
        <row r="1730">
          <cell r="A1730">
            <v>1116440</v>
          </cell>
          <cell r="B1730">
            <v>290.02999999999997</v>
          </cell>
        </row>
        <row r="1731">
          <cell r="A1731">
            <v>1124645</v>
          </cell>
          <cell r="B1731">
            <v>98.31</v>
          </cell>
        </row>
        <row r="1732">
          <cell r="A1732">
            <v>1124644</v>
          </cell>
          <cell r="B1732">
            <v>129.29</v>
          </cell>
        </row>
        <row r="1733">
          <cell r="A1733">
            <v>95000294</v>
          </cell>
          <cell r="B1733">
            <v>72.94</v>
          </cell>
        </row>
        <row r="1734">
          <cell r="A1734">
            <v>95000296</v>
          </cell>
          <cell r="B1734">
            <v>76.12</v>
          </cell>
        </row>
        <row r="1735">
          <cell r="A1735">
            <v>95000298</v>
          </cell>
          <cell r="B1735">
            <v>75.319999999999993</v>
          </cell>
        </row>
        <row r="1736">
          <cell r="A1736">
            <v>95000300</v>
          </cell>
          <cell r="B1736">
            <v>116.29</v>
          </cell>
        </row>
        <row r="1737">
          <cell r="A1737">
            <v>1117821</v>
          </cell>
          <cell r="B1737">
            <v>337.31</v>
          </cell>
        </row>
        <row r="1738">
          <cell r="A1738">
            <v>1088095</v>
          </cell>
          <cell r="B1738">
            <v>2.7</v>
          </cell>
        </row>
        <row r="1739">
          <cell r="A1739">
            <v>90068174</v>
          </cell>
          <cell r="B1739">
            <v>5.74</v>
          </cell>
        </row>
        <row r="1740">
          <cell r="A1740">
            <v>90068175</v>
          </cell>
          <cell r="B1740">
            <v>8.09</v>
          </cell>
        </row>
        <row r="1741">
          <cell r="A1741">
            <v>90068176</v>
          </cell>
          <cell r="B1741">
            <v>10.51</v>
          </cell>
        </row>
        <row r="1742">
          <cell r="A1742">
            <v>90068177</v>
          </cell>
          <cell r="B1742">
            <v>15.22</v>
          </cell>
        </row>
        <row r="1743">
          <cell r="A1743">
            <v>90068178</v>
          </cell>
          <cell r="B1743">
            <v>25.67</v>
          </cell>
        </row>
        <row r="1744">
          <cell r="A1744">
            <v>90068179</v>
          </cell>
          <cell r="B1744">
            <v>35.380000000000003</v>
          </cell>
        </row>
        <row r="1745">
          <cell r="A1745">
            <v>90068180</v>
          </cell>
          <cell r="B1745">
            <v>55.23</v>
          </cell>
        </row>
        <row r="1746">
          <cell r="A1746">
            <v>90068181</v>
          </cell>
          <cell r="B1746">
            <v>78.11</v>
          </cell>
        </row>
        <row r="1747">
          <cell r="A1747">
            <v>90068182</v>
          </cell>
          <cell r="B1747">
            <v>96.22</v>
          </cell>
        </row>
        <row r="1748">
          <cell r="A1748">
            <v>90068183</v>
          </cell>
          <cell r="B1748">
            <v>149.68</v>
          </cell>
        </row>
        <row r="1749">
          <cell r="A1749">
            <v>90068148</v>
          </cell>
          <cell r="B1749">
            <v>4.82</v>
          </cell>
        </row>
        <row r="1750">
          <cell r="A1750">
            <v>90068149</v>
          </cell>
          <cell r="B1750">
            <v>7.49</v>
          </cell>
        </row>
        <row r="1751">
          <cell r="A1751">
            <v>90068150</v>
          </cell>
          <cell r="B1751">
            <v>9.6199999999999992</v>
          </cell>
        </row>
        <row r="1752">
          <cell r="A1752">
            <v>90068151</v>
          </cell>
          <cell r="B1752">
            <v>12.83</v>
          </cell>
        </row>
        <row r="1753">
          <cell r="A1753">
            <v>90068152</v>
          </cell>
          <cell r="B1753">
            <v>19.559999999999999</v>
          </cell>
        </row>
        <row r="1754">
          <cell r="A1754">
            <v>90068153</v>
          </cell>
          <cell r="B1754">
            <v>29.42</v>
          </cell>
        </row>
        <row r="1755">
          <cell r="A1755">
            <v>90068154</v>
          </cell>
          <cell r="B1755">
            <v>42.88</v>
          </cell>
        </row>
        <row r="1756">
          <cell r="A1756">
            <v>90068155</v>
          </cell>
          <cell r="B1756">
            <v>54.87</v>
          </cell>
        </row>
        <row r="1757">
          <cell r="A1757">
            <v>90068156</v>
          </cell>
          <cell r="B1757">
            <v>79.819999999999993</v>
          </cell>
        </row>
        <row r="1758">
          <cell r="A1758">
            <v>90068157</v>
          </cell>
          <cell r="B1758">
            <v>128.62</v>
          </cell>
        </row>
        <row r="1759">
          <cell r="A1759">
            <v>90033494</v>
          </cell>
          <cell r="B1759">
            <v>181.02</v>
          </cell>
        </row>
        <row r="1760">
          <cell r="A1760">
            <v>90039543</v>
          </cell>
          <cell r="B1760">
            <v>229.01</v>
          </cell>
        </row>
        <row r="1761">
          <cell r="A1761">
            <v>117947</v>
          </cell>
          <cell r="B1761">
            <v>39.659999999999997</v>
          </cell>
        </row>
        <row r="1762">
          <cell r="A1762">
            <v>1025739</v>
          </cell>
          <cell r="B1762">
            <v>43.24</v>
          </cell>
        </row>
        <row r="1763">
          <cell r="A1763">
            <v>117792</v>
          </cell>
          <cell r="B1763">
            <v>51.66</v>
          </cell>
        </row>
        <row r="1764">
          <cell r="A1764">
            <v>90068166</v>
          </cell>
          <cell r="B1764">
            <v>129.63999999999999</v>
          </cell>
        </row>
        <row r="1765">
          <cell r="A1765">
            <v>90068167</v>
          </cell>
          <cell r="B1765">
            <v>158</v>
          </cell>
        </row>
        <row r="1766">
          <cell r="A1766">
            <v>90068168</v>
          </cell>
          <cell r="B1766">
            <v>186.35</v>
          </cell>
        </row>
        <row r="1767">
          <cell r="A1767">
            <v>90068169</v>
          </cell>
          <cell r="B1767">
            <v>214.71</v>
          </cell>
        </row>
        <row r="1768">
          <cell r="A1768">
            <v>90068170</v>
          </cell>
          <cell r="B1768">
            <v>243.07</v>
          </cell>
        </row>
        <row r="1769">
          <cell r="A1769">
            <v>90068171</v>
          </cell>
          <cell r="B1769">
            <v>271.37</v>
          </cell>
        </row>
        <row r="1770">
          <cell r="A1770">
            <v>90068172</v>
          </cell>
          <cell r="B1770">
            <v>299.73</v>
          </cell>
        </row>
        <row r="1771">
          <cell r="A1771">
            <v>90068173</v>
          </cell>
          <cell r="B1771">
            <v>328.07</v>
          </cell>
        </row>
        <row r="1772">
          <cell r="A1772">
            <v>95005106</v>
          </cell>
          <cell r="B1772">
            <v>49.38</v>
          </cell>
        </row>
        <row r="1773">
          <cell r="A1773">
            <v>90049385</v>
          </cell>
          <cell r="B1773">
            <v>104.69</v>
          </cell>
        </row>
        <row r="1774">
          <cell r="A1774">
            <v>90049397</v>
          </cell>
          <cell r="B1774">
            <v>118.08</v>
          </cell>
        </row>
        <row r="1775">
          <cell r="A1775">
            <v>90049387</v>
          </cell>
          <cell r="B1775">
            <v>198.16</v>
          </cell>
        </row>
        <row r="1776">
          <cell r="A1776">
            <v>90049399</v>
          </cell>
          <cell r="B1776">
            <v>238.27</v>
          </cell>
        </row>
        <row r="1777">
          <cell r="A1777">
            <v>90049400</v>
          </cell>
          <cell r="B1777">
            <v>136.68</v>
          </cell>
        </row>
        <row r="1778">
          <cell r="A1778">
            <v>90049389</v>
          </cell>
          <cell r="B1778">
            <v>331.57</v>
          </cell>
        </row>
        <row r="1779">
          <cell r="A1779">
            <v>90049390</v>
          </cell>
          <cell r="B1779">
            <v>229.98</v>
          </cell>
        </row>
        <row r="1780">
          <cell r="A1780">
            <v>90049401</v>
          </cell>
          <cell r="B1780">
            <v>632.49</v>
          </cell>
        </row>
        <row r="1781">
          <cell r="A1781">
            <v>90049391</v>
          </cell>
          <cell r="B1781">
            <v>692.47</v>
          </cell>
        </row>
        <row r="1782">
          <cell r="A1782">
            <v>90009554</v>
          </cell>
          <cell r="B1782">
            <v>261.83999999999997</v>
          </cell>
        </row>
        <row r="1783">
          <cell r="A1783">
            <v>90009553</v>
          </cell>
          <cell r="B1783">
            <v>272</v>
          </cell>
        </row>
        <row r="1784">
          <cell r="A1784">
            <v>1096713</v>
          </cell>
          <cell r="B1784">
            <v>2.19</v>
          </cell>
        </row>
        <row r="1785">
          <cell r="A1785">
            <v>40980887</v>
          </cell>
          <cell r="B1785">
            <v>474.62</v>
          </cell>
        </row>
        <row r="1786">
          <cell r="A1786">
            <v>40980889</v>
          </cell>
          <cell r="B1786">
            <v>474.62</v>
          </cell>
        </row>
        <row r="1787">
          <cell r="A1787">
            <v>40980891</v>
          </cell>
          <cell r="B1787">
            <v>474.62</v>
          </cell>
        </row>
        <row r="1788">
          <cell r="A1788">
            <v>40980893</v>
          </cell>
          <cell r="B1788">
            <v>474.62</v>
          </cell>
        </row>
        <row r="1789">
          <cell r="A1789">
            <v>40980895</v>
          </cell>
          <cell r="B1789">
            <v>474.62</v>
          </cell>
        </row>
        <row r="1790">
          <cell r="A1790">
            <v>40980897</v>
          </cell>
          <cell r="B1790">
            <v>474.62</v>
          </cell>
        </row>
        <row r="1791">
          <cell r="A1791">
            <v>40980899</v>
          </cell>
          <cell r="B1791">
            <v>474.62</v>
          </cell>
        </row>
        <row r="1792">
          <cell r="A1792">
            <v>40984811</v>
          </cell>
          <cell r="B1792">
            <v>474.62</v>
          </cell>
        </row>
        <row r="1793">
          <cell r="A1793">
            <v>90052649</v>
          </cell>
          <cell r="B1793">
            <v>517.64</v>
          </cell>
        </row>
        <row r="1794">
          <cell r="A1794">
            <v>40984811</v>
          </cell>
          <cell r="B1794">
            <v>474.62</v>
          </cell>
        </row>
        <row r="1795">
          <cell r="A1795">
            <v>90052649</v>
          </cell>
          <cell r="B1795">
            <v>517.64</v>
          </cell>
        </row>
        <row r="1796">
          <cell r="A1796">
            <v>90052650</v>
          </cell>
          <cell r="B1796">
            <v>517.64</v>
          </cell>
        </row>
        <row r="1797">
          <cell r="A1797">
            <v>1046306</v>
          </cell>
          <cell r="B1797">
            <v>2.19</v>
          </cell>
        </row>
        <row r="1798">
          <cell r="A1798">
            <v>533299</v>
          </cell>
          <cell r="B1798">
            <v>105.22</v>
          </cell>
        </row>
        <row r="1799">
          <cell r="A1799">
            <v>1088101</v>
          </cell>
          <cell r="B1799">
            <v>155.25</v>
          </cell>
        </row>
        <row r="1800">
          <cell r="A1800">
            <v>90053396</v>
          </cell>
          <cell r="B1800">
            <v>600.12</v>
          </cell>
        </row>
        <row r="1801">
          <cell r="A1801">
            <v>90053395</v>
          </cell>
          <cell r="B1801">
            <v>169.76</v>
          </cell>
        </row>
        <row r="1802">
          <cell r="A1802" t="str">
            <v>UPA150C Kühlmantel vertikal</v>
          </cell>
        </row>
        <row r="1817">
          <cell r="A1817" t="str">
            <v>UPA150C Kühlmantel horizontal</v>
          </cell>
        </row>
        <row r="1832">
          <cell r="A1832" t="str">
            <v>Saugsieb</v>
          </cell>
        </row>
        <row r="1835">
          <cell r="A1835">
            <v>29130399</v>
          </cell>
          <cell r="B1835">
            <v>1904.76</v>
          </cell>
        </row>
        <row r="1836">
          <cell r="A1836">
            <v>29130821</v>
          </cell>
          <cell r="B1836">
            <v>1904.76</v>
          </cell>
        </row>
        <row r="1837">
          <cell r="A1837">
            <v>29131000</v>
          </cell>
          <cell r="B1837">
            <v>4799.08</v>
          </cell>
        </row>
        <row r="1838">
          <cell r="A1838">
            <v>29131001</v>
          </cell>
          <cell r="B1838">
            <v>4812.1000000000004</v>
          </cell>
        </row>
        <row r="1839">
          <cell r="A1839">
            <v>29131002</v>
          </cell>
          <cell r="B1839">
            <v>4843.1499999999996</v>
          </cell>
        </row>
        <row r="1840">
          <cell r="A1840">
            <v>29131003</v>
          </cell>
          <cell r="B1840">
            <v>4918.29</v>
          </cell>
        </row>
        <row r="1841">
          <cell r="A1841">
            <v>29131004</v>
          </cell>
          <cell r="B1841">
            <v>4936.3100000000004</v>
          </cell>
        </row>
        <row r="1842">
          <cell r="A1842">
            <v>29131005</v>
          </cell>
          <cell r="B1842">
            <v>4966.5</v>
          </cell>
        </row>
        <row r="1843">
          <cell r="A1843">
            <v>29131006</v>
          </cell>
          <cell r="B1843">
            <v>5052.5</v>
          </cell>
        </row>
        <row r="1844">
          <cell r="A1844">
            <v>29131007</v>
          </cell>
          <cell r="B1844">
            <v>5127.75</v>
          </cell>
        </row>
        <row r="1845">
          <cell r="A1845">
            <v>29131008</v>
          </cell>
          <cell r="B1845">
            <v>5213.75</v>
          </cell>
        </row>
        <row r="1846">
          <cell r="A1846">
            <v>29131018</v>
          </cell>
          <cell r="B1846">
            <v>5740.5</v>
          </cell>
        </row>
        <row r="1847">
          <cell r="A1847">
            <v>29131019</v>
          </cell>
          <cell r="B1847">
            <v>5797.49</v>
          </cell>
        </row>
        <row r="1848">
          <cell r="A1848">
            <v>29131020</v>
          </cell>
          <cell r="B1848">
            <v>5922.9</v>
          </cell>
        </row>
        <row r="1849">
          <cell r="A1849">
            <v>29131021</v>
          </cell>
          <cell r="B1849">
            <v>6127.78</v>
          </cell>
        </row>
        <row r="1850">
          <cell r="A1850">
            <v>29131022</v>
          </cell>
          <cell r="B1850">
            <v>6235</v>
          </cell>
        </row>
        <row r="1851">
          <cell r="A1851">
            <v>29131023</v>
          </cell>
          <cell r="B1851">
            <v>6275.54</v>
          </cell>
        </row>
        <row r="1852">
          <cell r="A1852">
            <v>29131024</v>
          </cell>
          <cell r="B1852">
            <v>6485.39</v>
          </cell>
        </row>
        <row r="1853">
          <cell r="A1853">
            <v>29131025</v>
          </cell>
          <cell r="B1853">
            <v>6485.39</v>
          </cell>
        </row>
        <row r="1854">
          <cell r="A1854">
            <v>29131026</v>
          </cell>
          <cell r="B1854">
            <v>6701.43</v>
          </cell>
        </row>
        <row r="1855">
          <cell r="A1855">
            <v>29131036</v>
          </cell>
          <cell r="B1855">
            <v>6181.25</v>
          </cell>
        </row>
        <row r="1856">
          <cell r="A1856">
            <v>29131037</v>
          </cell>
          <cell r="B1856">
            <v>6429.5</v>
          </cell>
        </row>
        <row r="1857">
          <cell r="A1857">
            <v>29131038</v>
          </cell>
          <cell r="B1857">
            <v>6684.05</v>
          </cell>
        </row>
        <row r="1858">
          <cell r="A1858">
            <v>29131039</v>
          </cell>
          <cell r="B1858">
            <v>6773.46</v>
          </cell>
        </row>
        <row r="1859">
          <cell r="A1859">
            <v>29131040</v>
          </cell>
          <cell r="B1859">
            <v>6729.5</v>
          </cell>
        </row>
        <row r="1860">
          <cell r="A1860">
            <v>29131041</v>
          </cell>
          <cell r="B1860">
            <v>6836.79</v>
          </cell>
        </row>
        <row r="1861">
          <cell r="A1861">
            <v>29131042</v>
          </cell>
          <cell r="B1861">
            <v>7019.31</v>
          </cell>
        </row>
        <row r="1862">
          <cell r="A1862">
            <v>29131050</v>
          </cell>
          <cell r="B1862">
            <v>8202.25</v>
          </cell>
        </row>
        <row r="1863">
          <cell r="A1863">
            <v>29131051</v>
          </cell>
          <cell r="B1863">
            <v>8714.42</v>
          </cell>
        </row>
        <row r="1864">
          <cell r="A1864">
            <v>29131052</v>
          </cell>
          <cell r="B1864">
            <v>9065.2199999999993</v>
          </cell>
        </row>
        <row r="1865">
          <cell r="A1865">
            <v>29131053</v>
          </cell>
          <cell r="B1865">
            <v>9288</v>
          </cell>
        </row>
        <row r="1866">
          <cell r="A1866">
            <v>29131054</v>
          </cell>
          <cell r="B1866">
            <v>10040.1</v>
          </cell>
        </row>
        <row r="1867">
          <cell r="A1867">
            <v>29131055</v>
          </cell>
          <cell r="B1867">
            <v>10406</v>
          </cell>
        </row>
        <row r="1868">
          <cell r="A1868">
            <v>29131009</v>
          </cell>
          <cell r="B1868">
            <v>6402.78</v>
          </cell>
        </row>
        <row r="1869">
          <cell r="A1869">
            <v>29131010</v>
          </cell>
          <cell r="B1869">
            <v>6450</v>
          </cell>
        </row>
        <row r="1870">
          <cell r="A1870">
            <v>29131011</v>
          </cell>
          <cell r="B1870">
            <v>6490.93</v>
          </cell>
        </row>
        <row r="1871">
          <cell r="A1871">
            <v>29131012</v>
          </cell>
          <cell r="B1871">
            <v>6503.75</v>
          </cell>
        </row>
        <row r="1872">
          <cell r="A1872">
            <v>29131013</v>
          </cell>
          <cell r="B1872">
            <v>6643.19</v>
          </cell>
        </row>
        <row r="1873">
          <cell r="A1873">
            <v>29131014</v>
          </cell>
          <cell r="B1873">
            <v>6665</v>
          </cell>
        </row>
        <row r="1874">
          <cell r="A1874">
            <v>29131015</v>
          </cell>
          <cell r="B1874">
            <v>6697.25</v>
          </cell>
        </row>
        <row r="1875">
          <cell r="A1875">
            <v>29131016</v>
          </cell>
          <cell r="B1875">
            <v>6751</v>
          </cell>
        </row>
        <row r="1876">
          <cell r="A1876">
            <v>29131017</v>
          </cell>
          <cell r="B1876">
            <v>6837</v>
          </cell>
        </row>
        <row r="1877">
          <cell r="A1877">
            <v>29131027</v>
          </cell>
          <cell r="B1877">
            <v>7826</v>
          </cell>
        </row>
        <row r="1878">
          <cell r="A1878">
            <v>29131028</v>
          </cell>
          <cell r="B1878">
            <v>8126.9</v>
          </cell>
        </row>
        <row r="1879">
          <cell r="A1879">
            <v>29131029</v>
          </cell>
          <cell r="B1879">
            <v>8318.14</v>
          </cell>
        </row>
        <row r="1880">
          <cell r="A1880">
            <v>29131030</v>
          </cell>
          <cell r="B1880">
            <v>8622.36</v>
          </cell>
        </row>
        <row r="1881">
          <cell r="A1881">
            <v>29131031</v>
          </cell>
          <cell r="B1881">
            <v>8729</v>
          </cell>
        </row>
        <row r="1882">
          <cell r="A1882">
            <v>29131032</v>
          </cell>
          <cell r="B1882">
            <v>8845.85</v>
          </cell>
        </row>
        <row r="1883">
          <cell r="A1883">
            <v>29131033</v>
          </cell>
          <cell r="B1883">
            <v>8965.0499999999993</v>
          </cell>
        </row>
        <row r="1884">
          <cell r="A1884">
            <v>29131034</v>
          </cell>
          <cell r="B1884">
            <v>9192.27</v>
          </cell>
        </row>
        <row r="1885">
          <cell r="A1885">
            <v>29131035</v>
          </cell>
          <cell r="B1885">
            <v>9492.7800000000007</v>
          </cell>
        </row>
        <row r="1886">
          <cell r="A1886">
            <v>29131043</v>
          </cell>
          <cell r="B1886">
            <v>8815</v>
          </cell>
        </row>
        <row r="1887">
          <cell r="A1887">
            <v>29131044</v>
          </cell>
          <cell r="B1887">
            <v>9078.0400000000009</v>
          </cell>
        </row>
        <row r="1888">
          <cell r="A1888">
            <v>29131045</v>
          </cell>
          <cell r="B1888">
            <v>9460.49</v>
          </cell>
        </row>
        <row r="1889">
          <cell r="A1889">
            <v>29131046</v>
          </cell>
          <cell r="B1889">
            <v>9972.08</v>
          </cell>
        </row>
        <row r="1890">
          <cell r="A1890">
            <v>29131047</v>
          </cell>
          <cell r="B1890">
            <v>10212.5</v>
          </cell>
        </row>
        <row r="1891">
          <cell r="A1891">
            <v>29131048</v>
          </cell>
          <cell r="B1891">
            <v>10482.41</v>
          </cell>
        </row>
        <row r="1892">
          <cell r="A1892">
            <v>29131049</v>
          </cell>
          <cell r="B1892">
            <v>11787.44</v>
          </cell>
        </row>
        <row r="1893">
          <cell r="A1893">
            <v>29131056</v>
          </cell>
          <cell r="B1893">
            <v>10373.75</v>
          </cell>
        </row>
        <row r="1894">
          <cell r="A1894">
            <v>29131057</v>
          </cell>
          <cell r="B1894">
            <v>10877.07</v>
          </cell>
        </row>
        <row r="1895">
          <cell r="A1895">
            <v>29131058</v>
          </cell>
          <cell r="B1895">
            <v>11918.36</v>
          </cell>
        </row>
        <row r="1896">
          <cell r="A1896">
            <v>29131059</v>
          </cell>
          <cell r="B1896">
            <v>12427</v>
          </cell>
        </row>
        <row r="1897">
          <cell r="A1897">
            <v>29131060</v>
          </cell>
          <cell r="B1897">
            <v>13222.77</v>
          </cell>
        </row>
        <row r="1898">
          <cell r="A1898">
            <v>29131061</v>
          </cell>
          <cell r="B1898">
            <v>13738.5</v>
          </cell>
        </row>
        <row r="1899">
          <cell r="A1899">
            <v>29131062</v>
          </cell>
          <cell r="B1899">
            <v>6428.36</v>
          </cell>
        </row>
        <row r="1900">
          <cell r="A1900">
            <v>29131063</v>
          </cell>
          <cell r="B1900">
            <v>6505.26</v>
          </cell>
        </row>
        <row r="1901">
          <cell r="A1901">
            <v>29131064</v>
          </cell>
          <cell r="B1901">
            <v>6764.51</v>
          </cell>
        </row>
        <row r="1902">
          <cell r="A1902">
            <v>29131065</v>
          </cell>
          <cell r="B1902">
            <v>7105.98</v>
          </cell>
        </row>
        <row r="1903">
          <cell r="A1903">
            <v>29131070</v>
          </cell>
          <cell r="B1903">
            <v>6733.9</v>
          </cell>
        </row>
        <row r="1904">
          <cell r="A1904">
            <v>29131071</v>
          </cell>
          <cell r="B1904">
            <v>6783.48</v>
          </cell>
        </row>
        <row r="1905">
          <cell r="A1905">
            <v>29131072</v>
          </cell>
          <cell r="B1905">
            <v>8985.9500000000007</v>
          </cell>
        </row>
        <row r="1906">
          <cell r="A1906">
            <v>29131073</v>
          </cell>
          <cell r="B1906">
            <v>9138.7099999999991</v>
          </cell>
        </row>
        <row r="1907">
          <cell r="A1907">
            <v>29131078</v>
          </cell>
          <cell r="B1907">
            <v>8214.02</v>
          </cell>
        </row>
        <row r="1908">
          <cell r="A1908">
            <v>29131079</v>
          </cell>
          <cell r="B1908">
            <v>10646.16</v>
          </cell>
        </row>
        <row r="1909">
          <cell r="A1909">
            <v>29131080</v>
          </cell>
          <cell r="B1909">
            <v>11078.15</v>
          </cell>
        </row>
        <row r="1910">
          <cell r="A1910">
            <v>29131084</v>
          </cell>
          <cell r="B1910">
            <v>11347.27</v>
          </cell>
        </row>
        <row r="1911">
          <cell r="A1911">
            <v>29131085</v>
          </cell>
          <cell r="B1911">
            <v>12481.15</v>
          </cell>
        </row>
        <row r="1912">
          <cell r="A1912">
            <v>29131086</v>
          </cell>
          <cell r="B1912">
            <v>13103.35</v>
          </cell>
        </row>
        <row r="1913">
          <cell r="A1913">
            <v>29131087</v>
          </cell>
          <cell r="B1913">
            <v>14318.63</v>
          </cell>
        </row>
        <row r="1914">
          <cell r="A1914">
            <v>29131066</v>
          </cell>
          <cell r="B1914">
            <v>8809.92</v>
          </cell>
        </row>
        <row r="1915">
          <cell r="A1915">
            <v>29131067</v>
          </cell>
          <cell r="B1915">
            <v>8910.07</v>
          </cell>
        </row>
        <row r="1916">
          <cell r="A1916">
            <v>29131068</v>
          </cell>
          <cell r="B1916">
            <v>9138.7099999999991</v>
          </cell>
        </row>
        <row r="1917">
          <cell r="A1917">
            <v>29131069</v>
          </cell>
          <cell r="B1917">
            <v>9795.34</v>
          </cell>
        </row>
        <row r="1918">
          <cell r="A1918">
            <v>29131074</v>
          </cell>
          <cell r="B1918">
            <v>9264.17</v>
          </cell>
        </row>
        <row r="1919">
          <cell r="A1919">
            <v>29131075</v>
          </cell>
          <cell r="B1919">
            <v>9289.4599999999991</v>
          </cell>
        </row>
        <row r="1920">
          <cell r="A1920">
            <v>29131076</v>
          </cell>
          <cell r="B1920">
            <v>12530.96</v>
          </cell>
        </row>
        <row r="1921">
          <cell r="A1921">
            <v>29131077</v>
          </cell>
          <cell r="B1921">
            <v>12809.17</v>
          </cell>
        </row>
        <row r="1922">
          <cell r="A1922">
            <v>29131081</v>
          </cell>
          <cell r="B1922">
            <v>11294.66</v>
          </cell>
        </row>
        <row r="1923">
          <cell r="A1923">
            <v>29131082</v>
          </cell>
          <cell r="B1923">
            <v>14237.7</v>
          </cell>
        </row>
        <row r="1924">
          <cell r="A1924">
            <v>29131083</v>
          </cell>
          <cell r="B1924">
            <v>15085.51</v>
          </cell>
        </row>
        <row r="1925">
          <cell r="A1925">
            <v>29131088</v>
          </cell>
          <cell r="B1925">
            <v>15469.96</v>
          </cell>
        </row>
        <row r="1926">
          <cell r="A1926">
            <v>29131089</v>
          </cell>
          <cell r="B1926">
            <v>16713.34</v>
          </cell>
        </row>
        <row r="1927">
          <cell r="A1927">
            <v>29131090</v>
          </cell>
          <cell r="B1927">
            <v>18392.05</v>
          </cell>
        </row>
        <row r="1928">
          <cell r="A1928">
            <v>29131091</v>
          </cell>
          <cell r="B1928">
            <v>19374.400000000001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EMC"/>
      <sheetName val="PR00"/>
      <sheetName val="Deckblatt"/>
      <sheetName val="Inhaltsverzeichnis"/>
      <sheetName val="S.2 AD"/>
      <sheetName val="S.3 AD"/>
      <sheetName val="S.4 AD"/>
      <sheetName val="S.5 AD"/>
      <sheetName val="S.6 AD"/>
      <sheetName val="S.7 AP"/>
      <sheetName val="S.8 AP"/>
      <sheetName val="S.9 AP ICS"/>
      <sheetName val="S.10 Rotex"/>
      <sheetName val="S.11 MK"/>
      <sheetName val="S.12 MK"/>
      <sheetName val="S.13 MK"/>
      <sheetName val="S.14 MK"/>
      <sheetName val="S.15 MK"/>
      <sheetName val="S.16 MK"/>
      <sheetName val="S.17 MK"/>
      <sheetName val="S.18 MK"/>
      <sheetName val="S.19.1 MK"/>
      <sheetName val="S.19.2 MK"/>
      <sheetName val="S.20 Zubehör"/>
      <sheetName val="S.21 Zubehör"/>
      <sheetName val="S.22 Zubehör"/>
      <sheetName val="S.23 Zubehör"/>
      <sheetName val="S.24 Zubehör"/>
      <sheetName val="S.25 Zubehör"/>
      <sheetName val="S.26 Zubehör"/>
      <sheetName val="S.27 Zubehör"/>
      <sheetName val="S.28 AmarexN"/>
      <sheetName val="S.29 AmarexN"/>
      <sheetName val="S.30 AmarexN"/>
      <sheetName val="S.31 AmarexKRT"/>
      <sheetName val="S.32 AmarexKRT"/>
      <sheetName val="S.33 AmarexKRT"/>
      <sheetName val="S.34 Zubehör"/>
      <sheetName val="S.35 Zubehör"/>
      <sheetName val="S.36 Zubehör"/>
      <sheetName val="S.37 Zubehör"/>
      <sheetName val="S.38 Zubehör"/>
      <sheetName val="S.39 Zubehör"/>
      <sheetName val="S.40 Zubehör"/>
      <sheetName val="S.41 Zubehör"/>
      <sheetName val="S.42 AD-Box"/>
      <sheetName val="S.43 AD-Box"/>
      <sheetName val="S.44 AD-Box"/>
      <sheetName val="S.45 mini-Comp"/>
      <sheetName val="S.46 mini-Comp"/>
      <sheetName val="S.47 Compacta"/>
      <sheetName val="S.48 Compacta"/>
      <sheetName val="S.49 AP-CK-Pumpst"/>
      <sheetName val="S.50 Zubehör"/>
      <sheetName val="S.51 AmarexN CK-Pumpst"/>
      <sheetName val="S.52 AmarexN CK-Pumpst"/>
      <sheetName val="S.53 AmarexN CK-Pumpst"/>
      <sheetName val="S.54 Zubehör"/>
      <sheetName val="S.55 AmarexN CB-Pumpst"/>
      <sheetName val="S.56 AmarexN CB-Pumpst"/>
      <sheetName val="S.57 AmarexN CB-Pumpst"/>
      <sheetName val="S.58 AmarexN CB-Pumpst"/>
      <sheetName val="S.59 AmarexN CB-Pumpst"/>
      <sheetName val="S.60 AmarexN CB-Pumpst"/>
      <sheetName val="S.61 Zubehör"/>
      <sheetName val="S.62 Zubehör"/>
      <sheetName val="S.63 Zubehör"/>
      <sheetName val="S.64 MultiEco"/>
      <sheetName val="S.65 MultiEcoPro"/>
      <sheetName val="S.66 MultiEcoTop"/>
      <sheetName val="S.67 Ixo"/>
      <sheetName val="S.68 S 100D"/>
      <sheetName val="S.69 S 100D"/>
      <sheetName val="S.70 S 100D"/>
      <sheetName val="S.71 S 100D"/>
      <sheetName val="S.72 S 100D"/>
      <sheetName val="S.73 SET 100"/>
      <sheetName val="S.74 UPA 100C"/>
      <sheetName val="S.75 UPA 100C"/>
      <sheetName val="S.76 UPA 100C"/>
      <sheetName val="S.77 UPA 150S"/>
      <sheetName val="S.78 UPA 150S"/>
      <sheetName val="S.79 UPA 150S"/>
      <sheetName val="S.80 UPA 150S"/>
      <sheetName val="S.81 Controlmatic,Cervomatic"/>
      <sheetName val="S.82 Filtra"/>
      <sheetName val="S.83 Hya-Rain"/>
      <sheetName val="S.84 IxoRWS_RW"/>
      <sheetName val="S.85 Zubehör"/>
      <sheetName val="S.86 Zubehör"/>
      <sheetName val="S.87 Zubehör"/>
      <sheetName val="S.88 Zubehör"/>
      <sheetName val="S.89 Zubehör"/>
      <sheetName val="S.90 HyaSoloE"/>
      <sheetName val="S.91 HyaSoloD"/>
      <sheetName val="S.92 HyaSoloD"/>
      <sheetName val="S.93 HyaSoloDV"/>
      <sheetName val="S.94 HyaSoloDV"/>
      <sheetName val="S.95 HyaEco"/>
      <sheetName val="S.96 HyamatK"/>
      <sheetName val="S.97 HyamatK"/>
      <sheetName val="S.98 HyamatK"/>
      <sheetName val="S.99 HyamatK"/>
      <sheetName val="S.100 HyamatK"/>
      <sheetName val="S.101 HyamatK"/>
      <sheetName val="S.102 HyamatK"/>
      <sheetName val="S.103 HyamatK"/>
    </sheetNames>
    <sheetDataSet>
      <sheetData sheetId="0" refreshError="1"/>
      <sheetData sheetId="1">
        <row r="1">
          <cell r="B1" t="str">
            <v>PR00 2007</v>
          </cell>
        </row>
        <row r="2">
          <cell r="A2">
            <v>40981752</v>
          </cell>
          <cell r="B2">
            <v>209.19</v>
          </cell>
        </row>
        <row r="3">
          <cell r="A3">
            <v>40981773</v>
          </cell>
          <cell r="B3">
            <v>235.33</v>
          </cell>
        </row>
        <row r="4">
          <cell r="A4">
            <v>40981774</v>
          </cell>
          <cell r="B4">
            <v>416.99</v>
          </cell>
        </row>
        <row r="5">
          <cell r="A5">
            <v>40981754</v>
          </cell>
          <cell r="B5">
            <v>440.08</v>
          </cell>
        </row>
        <row r="6">
          <cell r="A6">
            <v>40981965</v>
          </cell>
          <cell r="B6">
            <v>477.04</v>
          </cell>
        </row>
        <row r="7">
          <cell r="A7">
            <v>40981793</v>
          </cell>
          <cell r="B7">
            <v>710.37</v>
          </cell>
        </row>
        <row r="8">
          <cell r="A8">
            <v>40984251</v>
          </cell>
          <cell r="B8">
            <v>467.79</v>
          </cell>
        </row>
        <row r="9">
          <cell r="A9">
            <v>40982123</v>
          </cell>
          <cell r="B9">
            <v>524.39</v>
          </cell>
        </row>
        <row r="10">
          <cell r="A10">
            <v>40982124</v>
          </cell>
          <cell r="B10">
            <v>532.49</v>
          </cell>
        </row>
        <row r="11">
          <cell r="A11">
            <v>29128651</v>
          </cell>
          <cell r="B11">
            <v>448.17</v>
          </cell>
        </row>
        <row r="12">
          <cell r="A12">
            <v>29128650</v>
          </cell>
          <cell r="B12">
            <v>498.99</v>
          </cell>
        </row>
        <row r="13">
          <cell r="A13">
            <v>29128652</v>
          </cell>
          <cell r="B13">
            <v>442.39</v>
          </cell>
        </row>
        <row r="14">
          <cell r="A14">
            <v>29128742</v>
          </cell>
          <cell r="B14">
            <v>538.27</v>
          </cell>
        </row>
        <row r="15">
          <cell r="A15">
            <v>29128654</v>
          </cell>
          <cell r="B15">
            <v>492.06</v>
          </cell>
        </row>
        <row r="16">
          <cell r="A16">
            <v>29128653</v>
          </cell>
          <cell r="B16">
            <v>538.27</v>
          </cell>
        </row>
        <row r="17">
          <cell r="A17">
            <v>29128655</v>
          </cell>
          <cell r="B17">
            <v>471.27</v>
          </cell>
        </row>
        <row r="18">
          <cell r="A18">
            <v>29128743</v>
          </cell>
          <cell r="B18">
            <v>575.23</v>
          </cell>
        </row>
        <row r="19">
          <cell r="A19">
            <v>29128657</v>
          </cell>
          <cell r="B19">
            <v>713.84</v>
          </cell>
        </row>
        <row r="20">
          <cell r="A20">
            <v>29128656</v>
          </cell>
          <cell r="B20">
            <v>764.65</v>
          </cell>
        </row>
        <row r="21">
          <cell r="A21">
            <v>29128658</v>
          </cell>
          <cell r="B21">
            <v>690.72</v>
          </cell>
        </row>
        <row r="22">
          <cell r="A22">
            <v>29128744</v>
          </cell>
          <cell r="B22">
            <v>779.67</v>
          </cell>
        </row>
        <row r="23">
          <cell r="A23">
            <v>29128660</v>
          </cell>
          <cell r="B23">
            <v>997.98</v>
          </cell>
        </row>
        <row r="24">
          <cell r="A24">
            <v>29128659</v>
          </cell>
          <cell r="B24">
            <v>1053.4100000000001</v>
          </cell>
        </row>
        <row r="25">
          <cell r="A25">
            <v>29128661</v>
          </cell>
          <cell r="B25">
            <v>974.86</v>
          </cell>
        </row>
        <row r="26">
          <cell r="A26">
            <v>29128745</v>
          </cell>
          <cell r="B26">
            <v>1064.98</v>
          </cell>
        </row>
        <row r="27">
          <cell r="A27">
            <v>29128662</v>
          </cell>
          <cell r="B27">
            <v>1284.43</v>
          </cell>
        </row>
        <row r="28">
          <cell r="A28">
            <v>29128746</v>
          </cell>
          <cell r="B28">
            <v>1377.99</v>
          </cell>
        </row>
        <row r="29">
          <cell r="A29">
            <v>29128865</v>
          </cell>
          <cell r="B29">
            <v>1507.37</v>
          </cell>
        </row>
        <row r="30">
          <cell r="A30">
            <v>29128866</v>
          </cell>
          <cell r="B30">
            <v>1598.6</v>
          </cell>
        </row>
        <row r="31">
          <cell r="A31">
            <v>29128664</v>
          </cell>
          <cell r="B31">
            <v>501.29</v>
          </cell>
        </row>
        <row r="32">
          <cell r="A32">
            <v>29128663</v>
          </cell>
          <cell r="B32">
            <v>552.12</v>
          </cell>
        </row>
        <row r="33">
          <cell r="A33">
            <v>29128665</v>
          </cell>
          <cell r="B33">
            <v>495.52</v>
          </cell>
        </row>
        <row r="34">
          <cell r="A34">
            <v>29128747</v>
          </cell>
          <cell r="B34">
            <v>591.39</v>
          </cell>
        </row>
        <row r="35">
          <cell r="A35">
            <v>29128667</v>
          </cell>
          <cell r="B35">
            <v>545.19000000000005</v>
          </cell>
        </row>
        <row r="36">
          <cell r="A36">
            <v>29128666</v>
          </cell>
          <cell r="B36">
            <v>591.39</v>
          </cell>
        </row>
        <row r="37">
          <cell r="A37">
            <v>29128668</v>
          </cell>
          <cell r="B37">
            <v>524.39</v>
          </cell>
        </row>
        <row r="38">
          <cell r="A38">
            <v>29128748</v>
          </cell>
          <cell r="B38">
            <v>628.35</v>
          </cell>
        </row>
        <row r="39">
          <cell r="A39">
            <v>29128670</v>
          </cell>
          <cell r="B39">
            <v>766.96</v>
          </cell>
        </row>
        <row r="40">
          <cell r="A40">
            <v>29128669</v>
          </cell>
          <cell r="B40">
            <v>817.79</v>
          </cell>
        </row>
        <row r="41">
          <cell r="A41">
            <v>29128671</v>
          </cell>
          <cell r="B41">
            <v>743.86</v>
          </cell>
        </row>
        <row r="42">
          <cell r="A42">
            <v>29128749</v>
          </cell>
          <cell r="B42">
            <v>832.8</v>
          </cell>
        </row>
        <row r="43">
          <cell r="A43">
            <v>29128673</v>
          </cell>
          <cell r="B43">
            <v>1051.1099999999999</v>
          </cell>
        </row>
        <row r="44">
          <cell r="A44">
            <v>29128672</v>
          </cell>
          <cell r="B44">
            <v>1106.56</v>
          </cell>
        </row>
        <row r="45">
          <cell r="A45">
            <v>29128674</v>
          </cell>
          <cell r="B45">
            <v>1028.02</v>
          </cell>
        </row>
        <row r="46">
          <cell r="A46">
            <v>29128750</v>
          </cell>
          <cell r="B46">
            <v>1118.0999999999999</v>
          </cell>
        </row>
        <row r="47">
          <cell r="A47">
            <v>29128675</v>
          </cell>
          <cell r="B47">
            <v>1337.57</v>
          </cell>
        </row>
        <row r="48">
          <cell r="A48">
            <v>29128751</v>
          </cell>
          <cell r="B48">
            <v>1431.12</v>
          </cell>
        </row>
        <row r="49">
          <cell r="A49">
            <v>29128697</v>
          </cell>
          <cell r="B49">
            <v>964.49</v>
          </cell>
        </row>
        <row r="50">
          <cell r="A50">
            <v>29128696</v>
          </cell>
          <cell r="B50">
            <v>1026.8499999999999</v>
          </cell>
        </row>
        <row r="51">
          <cell r="A51">
            <v>29128698</v>
          </cell>
          <cell r="B51">
            <v>1016.47</v>
          </cell>
        </row>
        <row r="52">
          <cell r="A52">
            <v>29128755</v>
          </cell>
          <cell r="B52">
            <v>1077.68</v>
          </cell>
        </row>
        <row r="53">
          <cell r="A53">
            <v>29128700</v>
          </cell>
          <cell r="B53">
            <v>1322.55</v>
          </cell>
        </row>
        <row r="54">
          <cell r="A54">
            <v>29128699</v>
          </cell>
          <cell r="B54">
            <v>1357.21</v>
          </cell>
        </row>
        <row r="55">
          <cell r="A55">
            <v>29128701</v>
          </cell>
          <cell r="B55">
            <v>1344.49</v>
          </cell>
        </row>
        <row r="56">
          <cell r="A56">
            <v>29128756</v>
          </cell>
          <cell r="B56">
            <v>1455.38</v>
          </cell>
        </row>
        <row r="57">
          <cell r="A57">
            <v>29128703</v>
          </cell>
          <cell r="B57">
            <v>1920.88</v>
          </cell>
        </row>
        <row r="58">
          <cell r="A58">
            <v>29128702</v>
          </cell>
          <cell r="B58">
            <v>1991.34</v>
          </cell>
        </row>
        <row r="59">
          <cell r="A59">
            <v>29128704</v>
          </cell>
          <cell r="B59">
            <v>1948.6</v>
          </cell>
        </row>
        <row r="60">
          <cell r="A60">
            <v>29128757</v>
          </cell>
          <cell r="B60">
            <v>2017.89</v>
          </cell>
        </row>
        <row r="61">
          <cell r="A61">
            <v>29128706</v>
          </cell>
          <cell r="B61">
            <v>2401.38</v>
          </cell>
        </row>
        <row r="62">
          <cell r="A62">
            <v>29128705</v>
          </cell>
          <cell r="B62">
            <v>2470.6799999999998</v>
          </cell>
        </row>
        <row r="63">
          <cell r="A63">
            <v>29128707</v>
          </cell>
          <cell r="B63">
            <v>2426.8000000000002</v>
          </cell>
        </row>
        <row r="64">
          <cell r="A64">
            <v>29128758</v>
          </cell>
          <cell r="B64">
            <v>2496.11</v>
          </cell>
        </row>
        <row r="65">
          <cell r="A65">
            <v>29128708</v>
          </cell>
          <cell r="B65">
            <v>2853.02</v>
          </cell>
        </row>
        <row r="66">
          <cell r="A66">
            <v>29128759</v>
          </cell>
          <cell r="B66">
            <v>2926.93</v>
          </cell>
        </row>
        <row r="67">
          <cell r="A67">
            <v>29128693</v>
          </cell>
          <cell r="B67">
            <v>3883.33</v>
          </cell>
        </row>
        <row r="68">
          <cell r="A68">
            <v>29128694</v>
          </cell>
          <cell r="B68">
            <v>3974.59</v>
          </cell>
        </row>
        <row r="69">
          <cell r="A69">
            <v>29128723</v>
          </cell>
          <cell r="B69">
            <v>939.08</v>
          </cell>
        </row>
        <row r="70">
          <cell r="A70">
            <v>29128722</v>
          </cell>
          <cell r="B70">
            <v>966.79</v>
          </cell>
        </row>
        <row r="71">
          <cell r="A71">
            <v>29128724</v>
          </cell>
          <cell r="B71">
            <v>982.97</v>
          </cell>
        </row>
        <row r="72">
          <cell r="A72">
            <v>29128760</v>
          </cell>
          <cell r="B72">
            <v>1017.62</v>
          </cell>
        </row>
        <row r="73">
          <cell r="A73">
            <v>29128726</v>
          </cell>
          <cell r="B73">
            <v>1228.98</v>
          </cell>
        </row>
        <row r="74">
          <cell r="A74">
            <v>29128725</v>
          </cell>
          <cell r="B74">
            <v>1262.49</v>
          </cell>
        </row>
        <row r="75">
          <cell r="A75">
            <v>29128727</v>
          </cell>
          <cell r="B75">
            <v>1249.77</v>
          </cell>
        </row>
        <row r="76">
          <cell r="A76">
            <v>29128761</v>
          </cell>
          <cell r="B76">
            <v>1360.67</v>
          </cell>
        </row>
        <row r="77">
          <cell r="A77">
            <v>29128729</v>
          </cell>
          <cell r="B77">
            <v>1799.6</v>
          </cell>
        </row>
        <row r="78">
          <cell r="A78">
            <v>29128728</v>
          </cell>
          <cell r="B78">
            <v>1868.9</v>
          </cell>
        </row>
        <row r="79">
          <cell r="A79">
            <v>29128730</v>
          </cell>
          <cell r="B79">
            <v>1826.16</v>
          </cell>
        </row>
        <row r="80">
          <cell r="A80">
            <v>29128762</v>
          </cell>
          <cell r="B80">
            <v>1895.47</v>
          </cell>
        </row>
        <row r="81">
          <cell r="A81">
            <v>29128732</v>
          </cell>
          <cell r="B81">
            <v>2251.2199999999998</v>
          </cell>
        </row>
        <row r="82">
          <cell r="A82">
            <v>29128731</v>
          </cell>
          <cell r="B82">
            <v>2321.69</v>
          </cell>
        </row>
        <row r="83">
          <cell r="A83">
            <v>29128733</v>
          </cell>
          <cell r="B83">
            <v>2277.79</v>
          </cell>
        </row>
        <row r="84">
          <cell r="A84">
            <v>29128763</v>
          </cell>
          <cell r="B84">
            <v>2347.09</v>
          </cell>
        </row>
        <row r="85">
          <cell r="A85">
            <v>29128734</v>
          </cell>
          <cell r="B85">
            <v>2683.21</v>
          </cell>
        </row>
        <row r="86">
          <cell r="A86">
            <v>29128764</v>
          </cell>
          <cell r="B86">
            <v>2758.3</v>
          </cell>
        </row>
        <row r="87">
          <cell r="A87">
            <v>29128867</v>
          </cell>
          <cell r="B87">
            <v>3088.65</v>
          </cell>
        </row>
        <row r="88">
          <cell r="A88">
            <v>29128868</v>
          </cell>
          <cell r="B88">
            <v>3198.39</v>
          </cell>
        </row>
        <row r="89">
          <cell r="A89">
            <v>29128677</v>
          </cell>
          <cell r="B89">
            <v>530.17999999999995</v>
          </cell>
        </row>
        <row r="90">
          <cell r="A90">
            <v>29128676</v>
          </cell>
          <cell r="B90">
            <v>548.66</v>
          </cell>
        </row>
        <row r="91">
          <cell r="A91">
            <v>29128678</v>
          </cell>
          <cell r="B91">
            <v>589.09</v>
          </cell>
        </row>
        <row r="92">
          <cell r="A92">
            <v>29128752</v>
          </cell>
          <cell r="B92">
            <v>624.9</v>
          </cell>
        </row>
        <row r="93">
          <cell r="A93">
            <v>29128680</v>
          </cell>
          <cell r="B93">
            <v>927.52</v>
          </cell>
        </row>
        <row r="94">
          <cell r="A94">
            <v>29128679</v>
          </cell>
          <cell r="B94">
            <v>974.86</v>
          </cell>
        </row>
        <row r="95">
          <cell r="A95">
            <v>29128681</v>
          </cell>
          <cell r="B95">
            <v>924.06</v>
          </cell>
        </row>
        <row r="96">
          <cell r="A96">
            <v>29128753</v>
          </cell>
          <cell r="B96">
            <v>965.64</v>
          </cell>
        </row>
        <row r="97">
          <cell r="A97">
            <v>29128682</v>
          </cell>
          <cell r="B97">
            <v>1594</v>
          </cell>
        </row>
        <row r="98">
          <cell r="A98">
            <v>29128754</v>
          </cell>
          <cell r="B98">
            <v>1644.81</v>
          </cell>
        </row>
        <row r="99">
          <cell r="A99">
            <v>29128683</v>
          </cell>
          <cell r="B99">
            <v>978.34</v>
          </cell>
        </row>
        <row r="100">
          <cell r="A100">
            <v>29128684</v>
          </cell>
          <cell r="B100">
            <v>1016.47</v>
          </cell>
        </row>
        <row r="101">
          <cell r="A101">
            <v>29128685</v>
          </cell>
          <cell r="B101">
            <v>1077.68</v>
          </cell>
        </row>
        <row r="102">
          <cell r="A102">
            <v>29128686</v>
          </cell>
          <cell r="B102">
            <v>1116.95</v>
          </cell>
        </row>
        <row r="103">
          <cell r="A103">
            <v>29128687</v>
          </cell>
          <cell r="B103">
            <v>1319.09</v>
          </cell>
        </row>
        <row r="104">
          <cell r="A104">
            <v>29128688</v>
          </cell>
          <cell r="B104">
            <v>1362.97</v>
          </cell>
        </row>
        <row r="105">
          <cell r="A105">
            <v>29128689</v>
          </cell>
          <cell r="B105">
            <v>1436.9</v>
          </cell>
        </row>
        <row r="106">
          <cell r="A106">
            <v>29128690</v>
          </cell>
          <cell r="B106">
            <v>1477.33</v>
          </cell>
        </row>
        <row r="107">
          <cell r="A107">
            <v>29128691</v>
          </cell>
          <cell r="B107">
            <v>2874.96</v>
          </cell>
        </row>
        <row r="108">
          <cell r="A108">
            <v>29128692</v>
          </cell>
          <cell r="B108">
            <v>2938.49</v>
          </cell>
        </row>
        <row r="109">
          <cell r="A109">
            <v>29117702</v>
          </cell>
          <cell r="B109">
            <v>4378.87</v>
          </cell>
        </row>
        <row r="110">
          <cell r="A110">
            <v>29117703</v>
          </cell>
          <cell r="B110">
            <v>4451.62</v>
          </cell>
        </row>
        <row r="111">
          <cell r="A111">
            <v>29117706</v>
          </cell>
          <cell r="B111">
            <v>5044.17</v>
          </cell>
        </row>
        <row r="112">
          <cell r="A112">
            <v>29117707</v>
          </cell>
          <cell r="B112">
            <v>5172.3900000000003</v>
          </cell>
        </row>
        <row r="113">
          <cell r="A113">
            <v>29117722</v>
          </cell>
          <cell r="B113">
            <v>4493.2</v>
          </cell>
        </row>
        <row r="114">
          <cell r="A114">
            <v>29117723</v>
          </cell>
          <cell r="B114">
            <v>4570.6000000000004</v>
          </cell>
        </row>
        <row r="115">
          <cell r="A115">
            <v>29117726</v>
          </cell>
          <cell r="B115">
            <v>5195.5</v>
          </cell>
        </row>
        <row r="116">
          <cell r="A116">
            <v>29117727</v>
          </cell>
          <cell r="B116">
            <v>5307.53</v>
          </cell>
        </row>
        <row r="117">
          <cell r="A117">
            <v>39017187</v>
          </cell>
          <cell r="B117">
            <v>467.79</v>
          </cell>
        </row>
        <row r="118">
          <cell r="A118">
            <v>39017100</v>
          </cell>
          <cell r="B118">
            <v>537.1</v>
          </cell>
        </row>
        <row r="119">
          <cell r="A119">
            <v>39017101</v>
          </cell>
          <cell r="B119">
            <v>725.4</v>
          </cell>
        </row>
        <row r="120">
          <cell r="A120">
            <v>39017102</v>
          </cell>
          <cell r="B120">
            <v>725.4</v>
          </cell>
        </row>
        <row r="121">
          <cell r="A121">
            <v>39017106</v>
          </cell>
          <cell r="B121">
            <v>861.68</v>
          </cell>
        </row>
        <row r="122">
          <cell r="A122">
            <v>39017107</v>
          </cell>
          <cell r="B122">
            <v>925.21</v>
          </cell>
        </row>
        <row r="123">
          <cell r="A123">
            <v>39017108</v>
          </cell>
          <cell r="B123">
            <v>925.21</v>
          </cell>
        </row>
        <row r="124">
          <cell r="A124">
            <v>39018468</v>
          </cell>
          <cell r="B124">
            <v>1369.91</v>
          </cell>
        </row>
        <row r="125">
          <cell r="A125">
            <v>39017195</v>
          </cell>
          <cell r="B125">
            <v>467.79</v>
          </cell>
        </row>
        <row r="126">
          <cell r="A126">
            <v>39017188</v>
          </cell>
          <cell r="B126">
            <v>537.1</v>
          </cell>
        </row>
        <row r="127">
          <cell r="A127">
            <v>39017189</v>
          </cell>
          <cell r="B127">
            <v>725.4</v>
          </cell>
        </row>
        <row r="128">
          <cell r="A128">
            <v>39017190</v>
          </cell>
          <cell r="B128">
            <v>725.4</v>
          </cell>
        </row>
        <row r="129">
          <cell r="A129">
            <v>39017192</v>
          </cell>
          <cell r="B129">
            <v>861.68</v>
          </cell>
        </row>
        <row r="130">
          <cell r="A130">
            <v>39017193</v>
          </cell>
          <cell r="B130">
            <v>925.21</v>
          </cell>
        </row>
        <row r="131">
          <cell r="A131">
            <v>39017194</v>
          </cell>
          <cell r="B131">
            <v>925.21</v>
          </cell>
        </row>
        <row r="132">
          <cell r="A132">
            <v>39018469</v>
          </cell>
          <cell r="B132">
            <v>1369.91</v>
          </cell>
        </row>
        <row r="133">
          <cell r="A133">
            <v>39017191</v>
          </cell>
          <cell r="B133">
            <v>467.79</v>
          </cell>
        </row>
        <row r="134">
          <cell r="A134">
            <v>39017103</v>
          </cell>
          <cell r="B134">
            <v>537.1</v>
          </cell>
        </row>
        <row r="135">
          <cell r="A135">
            <v>39017104</v>
          </cell>
          <cell r="B135">
            <v>725.4</v>
          </cell>
        </row>
        <row r="136">
          <cell r="A136">
            <v>39017105</v>
          </cell>
          <cell r="B136">
            <v>830.48</v>
          </cell>
        </row>
        <row r="137">
          <cell r="A137">
            <v>39017109</v>
          </cell>
          <cell r="B137">
            <v>861.68</v>
          </cell>
        </row>
        <row r="138">
          <cell r="A138">
            <v>39017110</v>
          </cell>
          <cell r="B138">
            <v>925.21</v>
          </cell>
        </row>
        <row r="139">
          <cell r="A139">
            <v>39017111</v>
          </cell>
          <cell r="B139">
            <v>1009.53</v>
          </cell>
        </row>
        <row r="140">
          <cell r="A140">
            <v>39017859</v>
          </cell>
          <cell r="B140">
            <v>1225.53</v>
          </cell>
        </row>
        <row r="141">
          <cell r="A141">
            <v>39018542</v>
          </cell>
          <cell r="B141">
            <v>567.15</v>
          </cell>
        </row>
        <row r="142">
          <cell r="A142">
            <v>39018543</v>
          </cell>
          <cell r="B142">
            <v>635.28</v>
          </cell>
        </row>
        <row r="143">
          <cell r="A143">
            <v>39018544</v>
          </cell>
          <cell r="B143">
            <v>824.7</v>
          </cell>
        </row>
        <row r="144">
          <cell r="A144">
            <v>39018545</v>
          </cell>
          <cell r="B144">
            <v>824.7</v>
          </cell>
        </row>
        <row r="145">
          <cell r="A145">
            <v>39018549</v>
          </cell>
          <cell r="B145">
            <v>962.22</v>
          </cell>
        </row>
        <row r="146">
          <cell r="A146">
            <v>39018628</v>
          </cell>
          <cell r="B146">
            <v>1025.7</v>
          </cell>
        </row>
        <row r="147">
          <cell r="A147">
            <v>39018629</v>
          </cell>
          <cell r="B147">
            <v>1025.7</v>
          </cell>
        </row>
        <row r="148">
          <cell r="A148">
            <v>39018538</v>
          </cell>
          <cell r="B148">
            <v>567.15</v>
          </cell>
        </row>
        <row r="149">
          <cell r="A149">
            <v>39018539</v>
          </cell>
          <cell r="B149">
            <v>635.28</v>
          </cell>
        </row>
        <row r="150">
          <cell r="A150">
            <v>39018540</v>
          </cell>
          <cell r="B150">
            <v>824.7</v>
          </cell>
        </row>
        <row r="151">
          <cell r="A151">
            <v>39018541</v>
          </cell>
          <cell r="B151">
            <v>930.98</v>
          </cell>
        </row>
        <row r="152">
          <cell r="A152">
            <v>39018546</v>
          </cell>
          <cell r="B152">
            <v>962.18</v>
          </cell>
        </row>
        <row r="153">
          <cell r="A153">
            <v>39018547</v>
          </cell>
          <cell r="B153">
            <v>1025.7</v>
          </cell>
        </row>
        <row r="154">
          <cell r="A154">
            <v>39018548</v>
          </cell>
          <cell r="B154">
            <v>1108.8499999999999</v>
          </cell>
        </row>
        <row r="155">
          <cell r="A155">
            <v>39020141</v>
          </cell>
          <cell r="B155">
            <v>862.84</v>
          </cell>
        </row>
        <row r="156">
          <cell r="A156">
            <v>39020142</v>
          </cell>
          <cell r="B156">
            <v>932.14</v>
          </cell>
        </row>
        <row r="157">
          <cell r="A157">
            <v>39020143</v>
          </cell>
          <cell r="B157">
            <v>1120.42</v>
          </cell>
        </row>
        <row r="158">
          <cell r="A158">
            <v>39020144</v>
          </cell>
          <cell r="B158">
            <v>1120.42</v>
          </cell>
        </row>
        <row r="159">
          <cell r="A159">
            <v>39020153</v>
          </cell>
          <cell r="B159">
            <v>1257.8699999999999</v>
          </cell>
        </row>
        <row r="160">
          <cell r="A160">
            <v>39020154</v>
          </cell>
          <cell r="B160">
            <v>1321.39</v>
          </cell>
        </row>
        <row r="161">
          <cell r="A161">
            <v>39020155</v>
          </cell>
          <cell r="B161">
            <v>1321.39</v>
          </cell>
        </row>
        <row r="162">
          <cell r="A162">
            <v>39020317</v>
          </cell>
          <cell r="B162">
            <v>1764.94</v>
          </cell>
        </row>
        <row r="163">
          <cell r="A163">
            <v>39020149</v>
          </cell>
          <cell r="B163">
            <v>862.84</v>
          </cell>
        </row>
        <row r="164">
          <cell r="A164">
            <v>39020150</v>
          </cell>
          <cell r="B164">
            <v>932.14</v>
          </cell>
        </row>
        <row r="165">
          <cell r="A165">
            <v>39020151</v>
          </cell>
          <cell r="B165">
            <v>1120.42</v>
          </cell>
        </row>
        <row r="166">
          <cell r="A166">
            <v>39020152</v>
          </cell>
          <cell r="B166">
            <v>1226.69</v>
          </cell>
        </row>
        <row r="167">
          <cell r="A167">
            <v>39020159</v>
          </cell>
          <cell r="B167">
            <v>1257.8699999999999</v>
          </cell>
        </row>
        <row r="168">
          <cell r="A168">
            <v>39020160</v>
          </cell>
          <cell r="B168">
            <v>1321.39</v>
          </cell>
        </row>
        <row r="169">
          <cell r="A169">
            <v>39020161</v>
          </cell>
          <cell r="B169">
            <v>1405.71</v>
          </cell>
        </row>
        <row r="170">
          <cell r="A170">
            <v>39020320</v>
          </cell>
          <cell r="B170">
            <v>1621.71</v>
          </cell>
        </row>
        <row r="171">
          <cell r="A171">
            <v>39019940</v>
          </cell>
          <cell r="B171">
            <v>108.57</v>
          </cell>
        </row>
        <row r="172">
          <cell r="A172">
            <v>39020214</v>
          </cell>
          <cell r="B172">
            <v>278.37</v>
          </cell>
        </row>
        <row r="173">
          <cell r="A173">
            <v>39019941</v>
          </cell>
          <cell r="B173">
            <v>278.37</v>
          </cell>
        </row>
        <row r="174">
          <cell r="A174">
            <v>39020692</v>
          </cell>
          <cell r="B174">
            <v>434.31</v>
          </cell>
        </row>
        <row r="175">
          <cell r="A175">
            <v>39020693</v>
          </cell>
          <cell r="B175">
            <v>434.31</v>
          </cell>
        </row>
        <row r="176">
          <cell r="A176">
            <v>29101099</v>
          </cell>
          <cell r="B176">
            <v>1405.71</v>
          </cell>
        </row>
        <row r="177">
          <cell r="A177">
            <v>29101100</v>
          </cell>
          <cell r="B177">
            <v>1405.71</v>
          </cell>
        </row>
        <row r="178">
          <cell r="A178">
            <v>529119</v>
          </cell>
          <cell r="B178">
            <v>1845.79</v>
          </cell>
        </row>
        <row r="179">
          <cell r="A179">
            <v>529129</v>
          </cell>
          <cell r="B179">
            <v>1845.79</v>
          </cell>
        </row>
        <row r="180">
          <cell r="A180">
            <v>529118</v>
          </cell>
          <cell r="B180">
            <v>2291.64</v>
          </cell>
        </row>
        <row r="181">
          <cell r="A181">
            <v>529128</v>
          </cell>
          <cell r="B181">
            <v>2291.64</v>
          </cell>
        </row>
        <row r="182">
          <cell r="A182">
            <v>529124</v>
          </cell>
          <cell r="B182">
            <v>2057.1799999999998</v>
          </cell>
        </row>
        <row r="183">
          <cell r="A183">
            <v>529123</v>
          </cell>
          <cell r="B183">
            <v>2516.89</v>
          </cell>
        </row>
        <row r="184">
          <cell r="A184">
            <v>39020769</v>
          </cell>
          <cell r="B184">
            <v>259.89999999999998</v>
          </cell>
        </row>
        <row r="185">
          <cell r="A185">
            <v>39020770</v>
          </cell>
          <cell r="B185">
            <v>283</v>
          </cell>
        </row>
        <row r="186">
          <cell r="A186">
            <v>39020771</v>
          </cell>
          <cell r="B186">
            <v>306.10000000000002</v>
          </cell>
        </row>
        <row r="187">
          <cell r="A187">
            <v>39020751</v>
          </cell>
          <cell r="B187">
            <v>353.45</v>
          </cell>
        </row>
        <row r="188">
          <cell r="A188">
            <v>19552258</v>
          </cell>
          <cell r="B188">
            <v>790.06</v>
          </cell>
        </row>
        <row r="189">
          <cell r="A189">
            <v>19552257</v>
          </cell>
          <cell r="B189">
            <v>632.98</v>
          </cell>
        </row>
        <row r="190">
          <cell r="A190">
            <v>19141819</v>
          </cell>
          <cell r="B190">
            <v>24.26</v>
          </cell>
        </row>
        <row r="191">
          <cell r="A191">
            <v>19141820</v>
          </cell>
          <cell r="B191">
            <v>53.15</v>
          </cell>
        </row>
        <row r="192">
          <cell r="A192">
            <v>39021975</v>
          </cell>
          <cell r="B192">
            <v>57.75</v>
          </cell>
        </row>
        <row r="193">
          <cell r="A193">
            <v>19551111</v>
          </cell>
          <cell r="B193">
            <v>20.8</v>
          </cell>
        </row>
        <row r="194">
          <cell r="A194">
            <v>1009771</v>
          </cell>
          <cell r="B194">
            <v>35.81</v>
          </cell>
        </row>
        <row r="195">
          <cell r="A195">
            <v>1009772</v>
          </cell>
          <cell r="B195">
            <v>41.58</v>
          </cell>
        </row>
        <row r="196">
          <cell r="A196">
            <v>1009773</v>
          </cell>
          <cell r="B196">
            <v>42.73</v>
          </cell>
        </row>
        <row r="197">
          <cell r="A197">
            <v>1084936</v>
          </cell>
          <cell r="B197">
            <v>219.47</v>
          </cell>
        </row>
        <row r="198">
          <cell r="A198">
            <v>1084935</v>
          </cell>
          <cell r="B198">
            <v>236.8</v>
          </cell>
        </row>
        <row r="199">
          <cell r="A199">
            <v>1084937</v>
          </cell>
          <cell r="B199">
            <v>255.27</v>
          </cell>
        </row>
        <row r="200">
          <cell r="A200">
            <v>48829253</v>
          </cell>
          <cell r="B200">
            <v>324.58</v>
          </cell>
        </row>
        <row r="201">
          <cell r="A201">
            <v>48829254</v>
          </cell>
          <cell r="B201">
            <v>348.83</v>
          </cell>
        </row>
        <row r="202">
          <cell r="A202">
            <v>48829255</v>
          </cell>
          <cell r="B202">
            <v>412.36</v>
          </cell>
        </row>
        <row r="203">
          <cell r="A203">
            <v>1056711</v>
          </cell>
          <cell r="B203">
            <v>219.47</v>
          </cell>
        </row>
        <row r="204">
          <cell r="A204">
            <v>1056712</v>
          </cell>
          <cell r="B204">
            <v>240.24</v>
          </cell>
        </row>
        <row r="205">
          <cell r="A205">
            <v>1056713</v>
          </cell>
          <cell r="B205">
            <v>303.77999999999997</v>
          </cell>
        </row>
        <row r="206">
          <cell r="A206">
            <v>1014219</v>
          </cell>
          <cell r="B206">
            <v>17.32</v>
          </cell>
        </row>
        <row r="207">
          <cell r="A207">
            <v>411502</v>
          </cell>
          <cell r="B207">
            <v>25.4</v>
          </cell>
        </row>
        <row r="208">
          <cell r="A208">
            <v>411503</v>
          </cell>
          <cell r="B208">
            <v>33.49</v>
          </cell>
        </row>
        <row r="209">
          <cell r="A209">
            <v>48829249</v>
          </cell>
          <cell r="B209">
            <v>205.61</v>
          </cell>
        </row>
        <row r="210">
          <cell r="A210">
            <v>48829250</v>
          </cell>
          <cell r="B210">
            <v>231.01</v>
          </cell>
        </row>
        <row r="211">
          <cell r="A211">
            <v>48829251</v>
          </cell>
          <cell r="B211">
            <v>287.61</v>
          </cell>
        </row>
        <row r="212">
          <cell r="A212">
            <v>1056707</v>
          </cell>
          <cell r="B212">
            <v>117.81</v>
          </cell>
        </row>
        <row r="213">
          <cell r="A213">
            <v>1056708</v>
          </cell>
          <cell r="B213">
            <v>146.69999999999999</v>
          </cell>
        </row>
        <row r="214">
          <cell r="A214">
            <v>1056709</v>
          </cell>
          <cell r="B214">
            <v>157.1</v>
          </cell>
        </row>
        <row r="215">
          <cell r="A215">
            <v>18072643</v>
          </cell>
          <cell r="B215">
            <v>13.85</v>
          </cell>
        </row>
        <row r="216">
          <cell r="A216">
            <v>18072644</v>
          </cell>
          <cell r="B216">
            <v>18.48</v>
          </cell>
        </row>
        <row r="217">
          <cell r="A217">
            <v>18060163</v>
          </cell>
          <cell r="B217">
            <v>18.48</v>
          </cell>
        </row>
        <row r="218">
          <cell r="A218">
            <v>18040311</v>
          </cell>
          <cell r="B218">
            <v>82</v>
          </cell>
        </row>
        <row r="219">
          <cell r="A219">
            <v>40000688</v>
          </cell>
          <cell r="B219">
            <v>239.1</v>
          </cell>
        </row>
        <row r="220">
          <cell r="A220">
            <v>40000689</v>
          </cell>
          <cell r="B220">
            <v>279.52999999999997</v>
          </cell>
        </row>
        <row r="221">
          <cell r="A221">
            <v>40000690</v>
          </cell>
          <cell r="B221">
            <v>336.13</v>
          </cell>
        </row>
        <row r="222">
          <cell r="A222">
            <v>48936065</v>
          </cell>
          <cell r="B222">
            <v>376.56</v>
          </cell>
        </row>
        <row r="223">
          <cell r="A223">
            <v>40000692</v>
          </cell>
          <cell r="B223">
            <v>453.94</v>
          </cell>
        </row>
        <row r="224">
          <cell r="A224">
            <v>18075627</v>
          </cell>
          <cell r="B224">
            <v>168.64</v>
          </cell>
        </row>
        <row r="225">
          <cell r="A225">
            <v>18079719</v>
          </cell>
          <cell r="B225">
            <v>58.91</v>
          </cell>
        </row>
        <row r="226">
          <cell r="A226">
            <v>42209411</v>
          </cell>
          <cell r="B226">
            <v>41.58</v>
          </cell>
        </row>
        <row r="227">
          <cell r="A227">
            <v>19072025</v>
          </cell>
          <cell r="B227">
            <v>64.69</v>
          </cell>
        </row>
        <row r="228">
          <cell r="A228">
            <v>18040259</v>
          </cell>
          <cell r="B228">
            <v>67.010000000000005</v>
          </cell>
        </row>
        <row r="229">
          <cell r="A229">
            <v>18040205</v>
          </cell>
          <cell r="B229">
            <v>85.47</v>
          </cell>
        </row>
        <row r="230">
          <cell r="A230">
            <v>11150456</v>
          </cell>
          <cell r="B230">
            <v>115.51</v>
          </cell>
        </row>
        <row r="231">
          <cell r="A231">
            <v>11150457</v>
          </cell>
          <cell r="B231">
            <v>146.69999999999999</v>
          </cell>
        </row>
        <row r="232">
          <cell r="A232">
            <v>11150458</v>
          </cell>
          <cell r="B232">
            <v>151.32</v>
          </cell>
        </row>
        <row r="233">
          <cell r="A233">
            <v>11150459</v>
          </cell>
          <cell r="B233">
            <v>181.35</v>
          </cell>
        </row>
        <row r="234">
          <cell r="A234">
            <v>11150869</v>
          </cell>
          <cell r="B234">
            <v>190.6</v>
          </cell>
        </row>
        <row r="235">
          <cell r="A235">
            <v>1002463</v>
          </cell>
          <cell r="B235">
            <v>24.26</v>
          </cell>
        </row>
        <row r="236">
          <cell r="A236">
            <v>520120</v>
          </cell>
          <cell r="B236">
            <v>24.26</v>
          </cell>
        </row>
        <row r="237">
          <cell r="A237">
            <v>1062591</v>
          </cell>
          <cell r="B237">
            <v>64.69</v>
          </cell>
        </row>
        <row r="238">
          <cell r="A238">
            <v>133084</v>
          </cell>
          <cell r="B238">
            <v>50.81</v>
          </cell>
        </row>
        <row r="239">
          <cell r="A239">
            <v>524370</v>
          </cell>
          <cell r="B239">
            <v>30.04</v>
          </cell>
        </row>
        <row r="240">
          <cell r="A240">
            <v>524371</v>
          </cell>
          <cell r="B240">
            <v>41.58</v>
          </cell>
        </row>
        <row r="241">
          <cell r="A241">
            <v>522546</v>
          </cell>
          <cell r="B241">
            <v>73.92</v>
          </cell>
        </row>
        <row r="242">
          <cell r="A242">
            <v>18040148</v>
          </cell>
          <cell r="B242">
            <v>101.66</v>
          </cell>
        </row>
        <row r="243">
          <cell r="A243">
            <v>18072642</v>
          </cell>
          <cell r="B243">
            <v>124.75</v>
          </cell>
        </row>
        <row r="244">
          <cell r="A244">
            <v>18060162</v>
          </cell>
          <cell r="B244">
            <v>176.73</v>
          </cell>
        </row>
        <row r="245">
          <cell r="A245">
            <v>524551</v>
          </cell>
          <cell r="B245">
            <v>26.57</v>
          </cell>
        </row>
        <row r="246">
          <cell r="A246">
            <v>520454</v>
          </cell>
          <cell r="B246">
            <v>40.43</v>
          </cell>
        </row>
        <row r="247">
          <cell r="A247">
            <v>522313</v>
          </cell>
          <cell r="B247">
            <v>82</v>
          </cell>
        </row>
        <row r="248">
          <cell r="A248">
            <v>114522</v>
          </cell>
          <cell r="B248">
            <v>3.47</v>
          </cell>
        </row>
        <row r="249">
          <cell r="A249">
            <v>1063363</v>
          </cell>
          <cell r="B249">
            <v>3.47</v>
          </cell>
        </row>
        <row r="250">
          <cell r="A250">
            <v>520853</v>
          </cell>
          <cell r="B250">
            <v>4.6100000000000003</v>
          </cell>
        </row>
        <row r="251">
          <cell r="A251">
            <v>1062592</v>
          </cell>
          <cell r="B251">
            <v>95.88</v>
          </cell>
        </row>
        <row r="252">
          <cell r="A252">
            <v>1062593</v>
          </cell>
          <cell r="B252">
            <v>146.69999999999999</v>
          </cell>
        </row>
        <row r="253">
          <cell r="A253">
            <v>1062594</v>
          </cell>
          <cell r="B253">
            <v>259.89999999999998</v>
          </cell>
        </row>
        <row r="254">
          <cell r="A254">
            <v>522262</v>
          </cell>
          <cell r="B254">
            <v>117.81</v>
          </cell>
        </row>
        <row r="255">
          <cell r="A255">
            <v>522263</v>
          </cell>
          <cell r="B255">
            <v>195.2</v>
          </cell>
        </row>
        <row r="256">
          <cell r="A256">
            <v>522264</v>
          </cell>
          <cell r="B256">
            <v>324.58</v>
          </cell>
        </row>
        <row r="257">
          <cell r="A257">
            <v>522265</v>
          </cell>
          <cell r="B257">
            <v>352.31</v>
          </cell>
        </row>
        <row r="258">
          <cell r="A258">
            <v>540104</v>
          </cell>
          <cell r="B258">
            <v>18.48</v>
          </cell>
        </row>
        <row r="259">
          <cell r="A259">
            <v>523966</v>
          </cell>
          <cell r="B259">
            <v>38.130000000000003</v>
          </cell>
        </row>
        <row r="260">
          <cell r="A260">
            <v>260478</v>
          </cell>
          <cell r="B260">
            <v>18.48</v>
          </cell>
        </row>
        <row r="261">
          <cell r="A261">
            <v>260479</v>
          </cell>
          <cell r="B261">
            <v>23.1</v>
          </cell>
        </row>
        <row r="262">
          <cell r="A262">
            <v>19551353</v>
          </cell>
          <cell r="B262">
            <v>83.17</v>
          </cell>
        </row>
        <row r="263">
          <cell r="A263">
            <v>106756</v>
          </cell>
          <cell r="B263">
            <v>21.94</v>
          </cell>
        </row>
        <row r="264">
          <cell r="A264">
            <v>240679</v>
          </cell>
          <cell r="B264">
            <v>6.94</v>
          </cell>
        </row>
        <row r="265">
          <cell r="A265">
            <v>240680</v>
          </cell>
          <cell r="B265">
            <v>5.78</v>
          </cell>
        </row>
        <row r="266">
          <cell r="A266">
            <v>240874</v>
          </cell>
          <cell r="B266">
            <v>4.6100000000000003</v>
          </cell>
        </row>
        <row r="267">
          <cell r="A267">
            <v>240876</v>
          </cell>
          <cell r="B267">
            <v>6.94</v>
          </cell>
        </row>
        <row r="268">
          <cell r="A268">
            <v>11035587</v>
          </cell>
          <cell r="B268">
            <v>24.26</v>
          </cell>
        </row>
        <row r="269">
          <cell r="A269">
            <v>11037771</v>
          </cell>
          <cell r="B269">
            <v>20.8</v>
          </cell>
        </row>
        <row r="270">
          <cell r="A270">
            <v>250494</v>
          </cell>
          <cell r="B270">
            <v>6.94</v>
          </cell>
        </row>
        <row r="271">
          <cell r="A271">
            <v>240679</v>
          </cell>
          <cell r="B271">
            <v>6.94</v>
          </cell>
        </row>
        <row r="272">
          <cell r="A272">
            <v>240680</v>
          </cell>
          <cell r="B272">
            <v>5.78</v>
          </cell>
        </row>
        <row r="273">
          <cell r="A273">
            <v>240686</v>
          </cell>
          <cell r="B273">
            <v>4.6100000000000003</v>
          </cell>
        </row>
        <row r="274">
          <cell r="A274">
            <v>241778</v>
          </cell>
          <cell r="B274">
            <v>13.85</v>
          </cell>
        </row>
        <row r="275">
          <cell r="A275">
            <v>40982361</v>
          </cell>
          <cell r="B275">
            <v>32.340000000000003</v>
          </cell>
        </row>
        <row r="276">
          <cell r="A276">
            <v>18040775</v>
          </cell>
          <cell r="B276">
            <v>63.53</v>
          </cell>
        </row>
        <row r="277">
          <cell r="A277">
            <v>19070135</v>
          </cell>
          <cell r="B277">
            <v>124.75</v>
          </cell>
        </row>
        <row r="278">
          <cell r="A278">
            <v>19070137</v>
          </cell>
          <cell r="B278">
            <v>124.75</v>
          </cell>
        </row>
        <row r="279">
          <cell r="A279">
            <v>19070138</v>
          </cell>
          <cell r="B279">
            <v>124.75</v>
          </cell>
        </row>
        <row r="280">
          <cell r="A280">
            <v>19070139</v>
          </cell>
          <cell r="B280">
            <v>124.75</v>
          </cell>
        </row>
        <row r="281">
          <cell r="A281">
            <v>19070140</v>
          </cell>
          <cell r="B281">
            <v>124.75</v>
          </cell>
        </row>
        <row r="282">
          <cell r="A282">
            <v>19070114</v>
          </cell>
          <cell r="B282">
            <v>146.9</v>
          </cell>
        </row>
        <row r="283">
          <cell r="A283">
            <v>19070115</v>
          </cell>
          <cell r="B283">
            <v>146.9</v>
          </cell>
        </row>
        <row r="284">
          <cell r="A284">
            <v>19070116</v>
          </cell>
          <cell r="B284">
            <v>146.9</v>
          </cell>
        </row>
        <row r="285">
          <cell r="A285">
            <v>19070117</v>
          </cell>
          <cell r="B285">
            <v>146.9</v>
          </cell>
        </row>
        <row r="286">
          <cell r="A286">
            <v>19070119</v>
          </cell>
          <cell r="B286">
            <v>146.69999999999999</v>
          </cell>
        </row>
        <row r="287">
          <cell r="A287">
            <v>1111397</v>
          </cell>
          <cell r="B287">
            <v>881.85</v>
          </cell>
        </row>
        <row r="288">
          <cell r="A288">
            <v>1111456</v>
          </cell>
          <cell r="B288">
            <v>1403.37</v>
          </cell>
        </row>
        <row r="289">
          <cell r="A289">
            <v>1111401</v>
          </cell>
          <cell r="B289">
            <v>1209.4000000000001</v>
          </cell>
        </row>
        <row r="290">
          <cell r="A290">
            <v>1111473</v>
          </cell>
          <cell r="B290">
            <v>1998.87</v>
          </cell>
        </row>
        <row r="291">
          <cell r="A291">
            <v>11037742</v>
          </cell>
          <cell r="B291">
            <v>40.43</v>
          </cell>
        </row>
        <row r="292">
          <cell r="A292">
            <v>11037743</v>
          </cell>
          <cell r="B292">
            <v>45.97</v>
          </cell>
        </row>
        <row r="293">
          <cell r="A293">
            <v>11037744</v>
          </cell>
          <cell r="B293">
            <v>58.31</v>
          </cell>
        </row>
        <row r="294">
          <cell r="A294">
            <v>11037745</v>
          </cell>
          <cell r="B294">
            <v>72.77</v>
          </cell>
        </row>
        <row r="295">
          <cell r="A295">
            <v>11037746</v>
          </cell>
          <cell r="B295">
            <v>85.23</v>
          </cell>
        </row>
        <row r="296">
          <cell r="A296">
            <v>11037747</v>
          </cell>
          <cell r="B296">
            <v>101.66</v>
          </cell>
        </row>
        <row r="297">
          <cell r="A297">
            <v>11037748</v>
          </cell>
          <cell r="B297">
            <v>117.81</v>
          </cell>
        </row>
        <row r="298">
          <cell r="A298">
            <v>11037753</v>
          </cell>
          <cell r="B298">
            <v>79.69</v>
          </cell>
        </row>
        <row r="299">
          <cell r="A299">
            <v>11037754</v>
          </cell>
          <cell r="B299">
            <v>113.2</v>
          </cell>
        </row>
        <row r="300">
          <cell r="A300">
            <v>11037755</v>
          </cell>
          <cell r="B300">
            <v>184.82</v>
          </cell>
        </row>
        <row r="301">
          <cell r="A301">
            <v>11037749</v>
          </cell>
          <cell r="B301">
            <v>61.23</v>
          </cell>
        </row>
        <row r="302">
          <cell r="A302">
            <v>11037750</v>
          </cell>
          <cell r="B302">
            <v>64.69</v>
          </cell>
        </row>
        <row r="303">
          <cell r="A303">
            <v>11037751</v>
          </cell>
          <cell r="B303">
            <v>78.55</v>
          </cell>
        </row>
        <row r="304">
          <cell r="A304">
            <v>11037752</v>
          </cell>
          <cell r="B304">
            <v>105.12</v>
          </cell>
        </row>
        <row r="305">
          <cell r="A305">
            <v>18040512</v>
          </cell>
          <cell r="B305">
            <v>133.99</v>
          </cell>
        </row>
        <row r="306">
          <cell r="A306">
            <v>19071490</v>
          </cell>
          <cell r="B306">
            <v>148.99</v>
          </cell>
        </row>
        <row r="307">
          <cell r="A307">
            <v>19071491</v>
          </cell>
          <cell r="B307">
            <v>148.99</v>
          </cell>
        </row>
        <row r="308">
          <cell r="A308">
            <v>19071492</v>
          </cell>
          <cell r="B308">
            <v>148.99</v>
          </cell>
        </row>
        <row r="309">
          <cell r="A309">
            <v>19071493</v>
          </cell>
          <cell r="B309">
            <v>148.99</v>
          </cell>
        </row>
        <row r="310">
          <cell r="A310">
            <v>29128401</v>
          </cell>
          <cell r="B310">
            <v>66.739999999999995</v>
          </cell>
        </row>
        <row r="311">
          <cell r="A311">
            <v>29128442</v>
          </cell>
          <cell r="B311">
            <v>338.44</v>
          </cell>
        </row>
        <row r="312">
          <cell r="A312">
            <v>530561</v>
          </cell>
          <cell r="B312">
            <v>524.39</v>
          </cell>
        </row>
        <row r="313">
          <cell r="A313">
            <v>1086547</v>
          </cell>
          <cell r="B313">
            <v>55.45</v>
          </cell>
        </row>
        <row r="314">
          <cell r="A314">
            <v>29128422</v>
          </cell>
          <cell r="B314">
            <v>191.74</v>
          </cell>
        </row>
        <row r="315">
          <cell r="A315">
            <v>19072366</v>
          </cell>
          <cell r="B315">
            <v>46.2</v>
          </cell>
        </row>
        <row r="316">
          <cell r="A316">
            <v>533740</v>
          </cell>
          <cell r="B316">
            <v>192.88</v>
          </cell>
        </row>
        <row r="317">
          <cell r="A317">
            <v>534217</v>
          </cell>
          <cell r="B317">
            <v>153.63</v>
          </cell>
        </row>
        <row r="318">
          <cell r="A318">
            <v>1009771</v>
          </cell>
          <cell r="B318">
            <v>35.81</v>
          </cell>
        </row>
        <row r="319">
          <cell r="A319">
            <v>1009773</v>
          </cell>
          <cell r="B319">
            <v>42.73</v>
          </cell>
        </row>
        <row r="320">
          <cell r="A320">
            <v>430260</v>
          </cell>
          <cell r="B320">
            <v>108.57</v>
          </cell>
        </row>
        <row r="321">
          <cell r="A321">
            <v>411503</v>
          </cell>
          <cell r="B321">
            <v>33.49</v>
          </cell>
        </row>
        <row r="322">
          <cell r="A322">
            <v>18075627</v>
          </cell>
          <cell r="B322">
            <v>168.64</v>
          </cell>
        </row>
        <row r="323">
          <cell r="A323">
            <v>11178906</v>
          </cell>
          <cell r="B323">
            <v>365.58</v>
          </cell>
        </row>
        <row r="324">
          <cell r="A324">
            <v>11178907</v>
          </cell>
          <cell r="B324">
            <v>442.95</v>
          </cell>
        </row>
        <row r="325">
          <cell r="A325">
            <v>11178908</v>
          </cell>
          <cell r="B325">
            <v>979</v>
          </cell>
        </row>
        <row r="326">
          <cell r="A326">
            <v>11178909</v>
          </cell>
          <cell r="B326">
            <v>1047.4100000000001</v>
          </cell>
        </row>
        <row r="327">
          <cell r="A327">
            <v>11178910</v>
          </cell>
          <cell r="B327">
            <v>417.16</v>
          </cell>
        </row>
        <row r="328">
          <cell r="A328">
            <v>11178911</v>
          </cell>
          <cell r="B328">
            <v>495.66</v>
          </cell>
        </row>
        <row r="329">
          <cell r="A329">
            <v>11178912</v>
          </cell>
          <cell r="B329">
            <v>1031.71</v>
          </cell>
        </row>
        <row r="330">
          <cell r="A330">
            <v>11178913</v>
          </cell>
          <cell r="B330">
            <v>1098.98</v>
          </cell>
        </row>
        <row r="331">
          <cell r="A331">
            <v>11037743</v>
          </cell>
          <cell r="B331">
            <v>45.97</v>
          </cell>
        </row>
        <row r="332">
          <cell r="A332">
            <v>11037744</v>
          </cell>
          <cell r="B332">
            <v>58.31</v>
          </cell>
        </row>
        <row r="333">
          <cell r="A333">
            <v>11037746</v>
          </cell>
          <cell r="B333">
            <v>85.23</v>
          </cell>
        </row>
        <row r="334">
          <cell r="A334">
            <v>19520160</v>
          </cell>
          <cell r="B334">
            <v>377.92</v>
          </cell>
        </row>
        <row r="335">
          <cell r="A335">
            <v>19520180</v>
          </cell>
          <cell r="B335">
            <v>403.72</v>
          </cell>
        </row>
        <row r="336">
          <cell r="A336">
            <v>19520152</v>
          </cell>
          <cell r="B336">
            <v>1059.74</v>
          </cell>
        </row>
        <row r="337">
          <cell r="A337">
            <v>19520172</v>
          </cell>
          <cell r="B337">
            <v>1100.1199999999999</v>
          </cell>
        </row>
        <row r="338">
          <cell r="A338">
            <v>19520162</v>
          </cell>
          <cell r="B338">
            <v>484.46</v>
          </cell>
        </row>
        <row r="339">
          <cell r="A339">
            <v>19520182</v>
          </cell>
          <cell r="B339">
            <v>510.25</v>
          </cell>
        </row>
        <row r="340">
          <cell r="A340">
            <v>19520152</v>
          </cell>
          <cell r="B340">
            <v>1059.74</v>
          </cell>
        </row>
        <row r="341">
          <cell r="A341">
            <v>19520172</v>
          </cell>
          <cell r="B341">
            <v>1100.1199999999999</v>
          </cell>
        </row>
        <row r="342">
          <cell r="A342">
            <v>19520195</v>
          </cell>
          <cell r="B342">
            <v>264.64999999999998</v>
          </cell>
        </row>
        <row r="343">
          <cell r="A343">
            <v>19520196</v>
          </cell>
          <cell r="B343">
            <v>331.95</v>
          </cell>
        </row>
        <row r="344">
          <cell r="A344">
            <v>19520190</v>
          </cell>
          <cell r="B344">
            <v>910.59</v>
          </cell>
        </row>
        <row r="345">
          <cell r="A345">
            <v>19520191</v>
          </cell>
          <cell r="B345">
            <v>977.89</v>
          </cell>
        </row>
        <row r="346">
          <cell r="A346">
            <v>19070114</v>
          </cell>
          <cell r="B346">
            <v>146.9</v>
          </cell>
        </row>
        <row r="347">
          <cell r="A347">
            <v>19070115</v>
          </cell>
          <cell r="B347">
            <v>146.9</v>
          </cell>
        </row>
        <row r="348">
          <cell r="A348">
            <v>19070116</v>
          </cell>
          <cell r="B348">
            <v>146.9</v>
          </cell>
        </row>
        <row r="349">
          <cell r="A349">
            <v>19070117</v>
          </cell>
          <cell r="B349">
            <v>146.9</v>
          </cell>
        </row>
        <row r="350">
          <cell r="A350">
            <v>530561</v>
          </cell>
          <cell r="B350">
            <v>524.39</v>
          </cell>
        </row>
        <row r="351">
          <cell r="A351">
            <v>1086547</v>
          </cell>
          <cell r="B351">
            <v>55.45</v>
          </cell>
        </row>
        <row r="352">
          <cell r="A352">
            <v>29128401</v>
          </cell>
          <cell r="B352">
            <v>66.739999999999995</v>
          </cell>
        </row>
        <row r="353">
          <cell r="A353">
            <v>533740</v>
          </cell>
          <cell r="B353">
            <v>192.88</v>
          </cell>
        </row>
        <row r="354">
          <cell r="A354">
            <v>1111397</v>
          </cell>
          <cell r="B354">
            <v>881.85</v>
          </cell>
        </row>
        <row r="355">
          <cell r="A355">
            <v>1111401</v>
          </cell>
          <cell r="B355">
            <v>1209.4000000000001</v>
          </cell>
        </row>
        <row r="356">
          <cell r="A356">
            <v>19072366</v>
          </cell>
          <cell r="B356">
            <v>46.2</v>
          </cell>
        </row>
        <row r="357">
          <cell r="A357">
            <v>1084031</v>
          </cell>
          <cell r="B357">
            <v>329.2</v>
          </cell>
        </row>
        <row r="358">
          <cell r="A358">
            <v>39020769</v>
          </cell>
          <cell r="B358">
            <v>259.89999999999998</v>
          </cell>
        </row>
        <row r="359">
          <cell r="A359">
            <v>39020770</v>
          </cell>
          <cell r="B359">
            <v>283</v>
          </cell>
        </row>
        <row r="360">
          <cell r="A360">
            <v>39020771</v>
          </cell>
          <cell r="B360">
            <v>306.10000000000002</v>
          </cell>
        </row>
        <row r="361">
          <cell r="A361">
            <v>39020827</v>
          </cell>
          <cell r="B361">
            <v>334.97</v>
          </cell>
        </row>
        <row r="362">
          <cell r="A362">
            <v>39020828</v>
          </cell>
          <cell r="B362">
            <v>358.07</v>
          </cell>
        </row>
        <row r="363">
          <cell r="A363">
            <v>39020829</v>
          </cell>
          <cell r="B363">
            <v>383.49</v>
          </cell>
        </row>
        <row r="364">
          <cell r="A364">
            <v>39020795</v>
          </cell>
          <cell r="B364">
            <v>259.89999999999998</v>
          </cell>
        </row>
        <row r="365">
          <cell r="A365">
            <v>39020796</v>
          </cell>
          <cell r="B365">
            <v>283</v>
          </cell>
        </row>
        <row r="366">
          <cell r="A366">
            <v>39020797</v>
          </cell>
          <cell r="B366">
            <v>306.10000000000002</v>
          </cell>
        </row>
        <row r="367">
          <cell r="A367">
            <v>39020813</v>
          </cell>
          <cell r="B367">
            <v>334.97</v>
          </cell>
        </row>
        <row r="368">
          <cell r="A368">
            <v>39020814</v>
          </cell>
          <cell r="B368">
            <v>358.07</v>
          </cell>
        </row>
        <row r="369">
          <cell r="A369">
            <v>39020815</v>
          </cell>
          <cell r="B369">
            <v>383.49</v>
          </cell>
        </row>
        <row r="370">
          <cell r="A370">
            <v>39021023</v>
          </cell>
          <cell r="B370">
            <v>288.77999999999997</v>
          </cell>
        </row>
        <row r="371">
          <cell r="A371">
            <v>39021025</v>
          </cell>
          <cell r="B371">
            <v>330.35</v>
          </cell>
        </row>
        <row r="372">
          <cell r="A372">
            <v>39020779</v>
          </cell>
          <cell r="B372">
            <v>288.77999999999997</v>
          </cell>
        </row>
        <row r="373">
          <cell r="A373">
            <v>39020806</v>
          </cell>
          <cell r="B373">
            <v>330.35</v>
          </cell>
        </row>
        <row r="374">
          <cell r="A374">
            <v>39021212</v>
          </cell>
          <cell r="B374">
            <v>288.77999999999997</v>
          </cell>
        </row>
        <row r="375">
          <cell r="A375">
            <v>39021213</v>
          </cell>
          <cell r="B375">
            <v>330.35</v>
          </cell>
        </row>
        <row r="376">
          <cell r="A376">
            <v>39021182</v>
          </cell>
          <cell r="B376">
            <v>288.77999999999997</v>
          </cell>
        </row>
        <row r="377">
          <cell r="A377">
            <v>39021188</v>
          </cell>
          <cell r="B377">
            <v>330.35</v>
          </cell>
        </row>
        <row r="378">
          <cell r="A378">
            <v>39017080</v>
          </cell>
          <cell r="B378">
            <v>71.62</v>
          </cell>
        </row>
        <row r="379">
          <cell r="A379">
            <v>39018120</v>
          </cell>
          <cell r="B379">
            <v>71.62</v>
          </cell>
        </row>
        <row r="380">
          <cell r="A380">
            <v>39017090</v>
          </cell>
          <cell r="B380">
            <v>82</v>
          </cell>
        </row>
        <row r="381">
          <cell r="A381">
            <v>39021016</v>
          </cell>
          <cell r="B381">
            <v>38.130000000000003</v>
          </cell>
        </row>
        <row r="382">
          <cell r="A382">
            <v>39021018</v>
          </cell>
          <cell r="B382">
            <v>85.47</v>
          </cell>
        </row>
        <row r="383">
          <cell r="A383">
            <v>19141819</v>
          </cell>
          <cell r="B383">
            <v>24.26</v>
          </cell>
        </row>
        <row r="384">
          <cell r="A384">
            <v>19141820</v>
          </cell>
          <cell r="B384">
            <v>53.15</v>
          </cell>
        </row>
        <row r="385">
          <cell r="A385">
            <v>19551111</v>
          </cell>
          <cell r="B385">
            <v>20.8</v>
          </cell>
        </row>
        <row r="386">
          <cell r="A386">
            <v>39020184</v>
          </cell>
          <cell r="B386">
            <v>33.49</v>
          </cell>
        </row>
        <row r="387">
          <cell r="A387">
            <v>19200721</v>
          </cell>
          <cell r="B387">
            <v>33.49</v>
          </cell>
        </row>
        <row r="388">
          <cell r="A388">
            <v>241966</v>
          </cell>
          <cell r="B388">
            <v>51.98</v>
          </cell>
        </row>
        <row r="389">
          <cell r="A389">
            <v>240316</v>
          </cell>
          <cell r="B389">
            <v>58.91</v>
          </cell>
        </row>
        <row r="390">
          <cell r="A390">
            <v>18040148</v>
          </cell>
          <cell r="B390">
            <v>101.66</v>
          </cell>
        </row>
        <row r="391">
          <cell r="A391">
            <v>520454</v>
          </cell>
          <cell r="B391">
            <v>40.43</v>
          </cell>
        </row>
        <row r="392">
          <cell r="A392">
            <v>524370</v>
          </cell>
          <cell r="B392">
            <v>30.04</v>
          </cell>
        </row>
        <row r="393">
          <cell r="A393">
            <v>524371</v>
          </cell>
          <cell r="B393">
            <v>41.58</v>
          </cell>
        </row>
        <row r="394">
          <cell r="A394">
            <v>522262</v>
          </cell>
          <cell r="B394">
            <v>117.81</v>
          </cell>
        </row>
        <row r="395">
          <cell r="A395">
            <v>522263</v>
          </cell>
          <cell r="B395">
            <v>195.2</v>
          </cell>
        </row>
        <row r="396">
          <cell r="A396">
            <v>522264</v>
          </cell>
          <cell r="B396">
            <v>324.58</v>
          </cell>
        </row>
        <row r="397">
          <cell r="A397">
            <v>39018686</v>
          </cell>
          <cell r="B397">
            <v>144.38</v>
          </cell>
        </row>
        <row r="398">
          <cell r="A398">
            <v>39018687</v>
          </cell>
          <cell r="B398">
            <v>221.77</v>
          </cell>
        </row>
        <row r="399">
          <cell r="A399">
            <v>522265</v>
          </cell>
          <cell r="B399">
            <v>352.31</v>
          </cell>
        </row>
        <row r="400">
          <cell r="A400">
            <v>39018688</v>
          </cell>
          <cell r="B400">
            <v>82</v>
          </cell>
        </row>
        <row r="401">
          <cell r="A401">
            <v>39018689</v>
          </cell>
          <cell r="B401">
            <v>162.87</v>
          </cell>
        </row>
        <row r="402">
          <cell r="A402">
            <v>39018690</v>
          </cell>
          <cell r="B402">
            <v>324.58</v>
          </cell>
        </row>
        <row r="403">
          <cell r="A403">
            <v>39019073</v>
          </cell>
          <cell r="B403">
            <v>487.45</v>
          </cell>
        </row>
        <row r="404">
          <cell r="A404">
            <v>39018691</v>
          </cell>
          <cell r="B404">
            <v>94.72</v>
          </cell>
        </row>
        <row r="405">
          <cell r="A405">
            <v>39019062</v>
          </cell>
          <cell r="B405">
            <v>189.42</v>
          </cell>
        </row>
        <row r="406">
          <cell r="A406">
            <v>39019063</v>
          </cell>
          <cell r="B406">
            <v>380.02</v>
          </cell>
        </row>
        <row r="407">
          <cell r="A407">
            <v>39019072</v>
          </cell>
          <cell r="B407">
            <v>569.45000000000005</v>
          </cell>
        </row>
        <row r="408">
          <cell r="A408">
            <v>39019064</v>
          </cell>
          <cell r="B408">
            <v>94.72</v>
          </cell>
        </row>
        <row r="409">
          <cell r="A409">
            <v>39019065</v>
          </cell>
          <cell r="B409">
            <v>189.42</v>
          </cell>
        </row>
        <row r="410">
          <cell r="A410">
            <v>39019066</v>
          </cell>
          <cell r="B410">
            <v>380.02</v>
          </cell>
        </row>
        <row r="411">
          <cell r="A411">
            <v>39019071</v>
          </cell>
          <cell r="B411">
            <v>569.45000000000005</v>
          </cell>
        </row>
        <row r="412">
          <cell r="A412">
            <v>460476</v>
          </cell>
          <cell r="B412">
            <v>2.2999999999999998</v>
          </cell>
        </row>
        <row r="413">
          <cell r="A413">
            <v>109515</v>
          </cell>
          <cell r="B413">
            <v>3.47</v>
          </cell>
        </row>
        <row r="414">
          <cell r="A414">
            <v>1009773</v>
          </cell>
          <cell r="B414">
            <v>42.73</v>
          </cell>
        </row>
        <row r="415">
          <cell r="A415">
            <v>411503</v>
          </cell>
          <cell r="B415">
            <v>33.49</v>
          </cell>
        </row>
        <row r="416">
          <cell r="A416">
            <v>39000507</v>
          </cell>
          <cell r="B416">
            <v>54.29</v>
          </cell>
        </row>
        <row r="417">
          <cell r="A417">
            <v>48829253</v>
          </cell>
          <cell r="B417">
            <v>324.58</v>
          </cell>
        </row>
        <row r="418">
          <cell r="A418">
            <v>1056711</v>
          </cell>
          <cell r="B418">
            <v>219.47</v>
          </cell>
        </row>
        <row r="419">
          <cell r="A419">
            <v>48829249</v>
          </cell>
          <cell r="B419">
            <v>205.61</v>
          </cell>
        </row>
        <row r="420">
          <cell r="A420">
            <v>1056707</v>
          </cell>
          <cell r="B420">
            <v>117.81</v>
          </cell>
        </row>
        <row r="421">
          <cell r="A421">
            <v>19551115</v>
          </cell>
          <cell r="B421">
            <v>5.78</v>
          </cell>
        </row>
        <row r="422">
          <cell r="A422">
            <v>19551353</v>
          </cell>
          <cell r="B422">
            <v>83.17</v>
          </cell>
        </row>
        <row r="423">
          <cell r="A423">
            <v>11037742</v>
          </cell>
          <cell r="B423">
            <v>40.43</v>
          </cell>
        </row>
        <row r="424">
          <cell r="A424">
            <v>11037743</v>
          </cell>
          <cell r="B424">
            <v>45.97</v>
          </cell>
        </row>
        <row r="425">
          <cell r="A425">
            <v>11037744</v>
          </cell>
          <cell r="B425">
            <v>58.31</v>
          </cell>
        </row>
        <row r="426">
          <cell r="A426">
            <v>11037745</v>
          </cell>
          <cell r="B426">
            <v>72.77</v>
          </cell>
        </row>
        <row r="427">
          <cell r="A427">
            <v>11037746</v>
          </cell>
          <cell r="B427">
            <v>85.23</v>
          </cell>
        </row>
        <row r="428">
          <cell r="A428">
            <v>11037747</v>
          </cell>
          <cell r="B428">
            <v>101.66</v>
          </cell>
        </row>
        <row r="429">
          <cell r="A429">
            <v>11037748</v>
          </cell>
          <cell r="B429">
            <v>117.81</v>
          </cell>
        </row>
        <row r="430">
          <cell r="A430">
            <v>29128401</v>
          </cell>
          <cell r="B430">
            <v>66.739999999999995</v>
          </cell>
        </row>
        <row r="431">
          <cell r="A431">
            <v>29128422</v>
          </cell>
          <cell r="B431">
            <v>191.74</v>
          </cell>
        </row>
        <row r="432">
          <cell r="A432">
            <v>29128442</v>
          </cell>
          <cell r="B432">
            <v>338.44</v>
          </cell>
        </row>
        <row r="433">
          <cell r="A433">
            <v>19070116</v>
          </cell>
          <cell r="B433">
            <v>146.9</v>
          </cell>
        </row>
        <row r="434">
          <cell r="A434">
            <v>19070117</v>
          </cell>
          <cell r="B434">
            <v>146.9</v>
          </cell>
        </row>
        <row r="435">
          <cell r="A435">
            <v>19070138</v>
          </cell>
          <cell r="B435">
            <v>124.75</v>
          </cell>
        </row>
        <row r="436">
          <cell r="A436">
            <v>19070139</v>
          </cell>
          <cell r="B436">
            <v>124.75</v>
          </cell>
        </row>
        <row r="437">
          <cell r="A437">
            <v>19070140</v>
          </cell>
          <cell r="B437">
            <v>124.75</v>
          </cell>
        </row>
        <row r="438">
          <cell r="A438">
            <v>530561</v>
          </cell>
          <cell r="B438">
            <v>524.39</v>
          </cell>
        </row>
        <row r="439">
          <cell r="A439">
            <v>1086547</v>
          </cell>
          <cell r="B439">
            <v>55.45</v>
          </cell>
        </row>
        <row r="440">
          <cell r="A440">
            <v>19072366</v>
          </cell>
          <cell r="B440">
            <v>46.2</v>
          </cell>
        </row>
        <row r="441">
          <cell r="A441">
            <v>1111397</v>
          </cell>
          <cell r="B441">
            <v>881.85</v>
          </cell>
        </row>
        <row r="442">
          <cell r="A442">
            <v>1111401</v>
          </cell>
          <cell r="B442">
            <v>1209.4000000000001</v>
          </cell>
        </row>
        <row r="443">
          <cell r="A443">
            <v>1118645</v>
          </cell>
          <cell r="B443">
            <v>1352.25</v>
          </cell>
        </row>
        <row r="444">
          <cell r="A444">
            <v>1118647</v>
          </cell>
          <cell r="B444">
            <v>1352.25</v>
          </cell>
        </row>
        <row r="445">
          <cell r="A445">
            <v>1118648</v>
          </cell>
          <cell r="B445">
            <v>1569.96</v>
          </cell>
        </row>
        <row r="446">
          <cell r="A446">
            <v>1118649</v>
          </cell>
          <cell r="B446">
            <v>1569.96</v>
          </cell>
        </row>
        <row r="447">
          <cell r="A447">
            <v>1118650</v>
          </cell>
          <cell r="B447">
            <v>993</v>
          </cell>
        </row>
        <row r="448">
          <cell r="A448">
            <v>1118651</v>
          </cell>
          <cell r="B448">
            <v>993</v>
          </cell>
        </row>
        <row r="449">
          <cell r="A449">
            <v>1118652</v>
          </cell>
          <cell r="B449">
            <v>1320.55</v>
          </cell>
        </row>
        <row r="450">
          <cell r="A450">
            <v>1118723</v>
          </cell>
          <cell r="B450">
            <v>1320.55</v>
          </cell>
        </row>
        <row r="451">
          <cell r="A451">
            <v>19071492</v>
          </cell>
          <cell r="B451">
            <v>148.99</v>
          </cell>
        </row>
        <row r="452">
          <cell r="A452">
            <v>19071493</v>
          </cell>
          <cell r="B452">
            <v>148.99</v>
          </cell>
        </row>
        <row r="453">
          <cell r="A453">
            <v>19071721</v>
          </cell>
          <cell r="B453">
            <v>84.33</v>
          </cell>
        </row>
        <row r="454">
          <cell r="A454">
            <v>1118748</v>
          </cell>
          <cell r="B454">
            <v>42.64</v>
          </cell>
        </row>
        <row r="455">
          <cell r="A455">
            <v>1118747</v>
          </cell>
          <cell r="B455">
            <v>309.85000000000002</v>
          </cell>
        </row>
        <row r="456">
          <cell r="A456">
            <v>1118746</v>
          </cell>
          <cell r="B456">
            <v>203.66</v>
          </cell>
        </row>
        <row r="457">
          <cell r="A457">
            <v>1111935</v>
          </cell>
          <cell r="B457">
            <v>73.790000000000006</v>
          </cell>
        </row>
        <row r="458">
          <cell r="A458">
            <v>19070614</v>
          </cell>
          <cell r="B458">
            <v>132.57</v>
          </cell>
        </row>
        <row r="459">
          <cell r="A459">
            <v>39100017</v>
          </cell>
          <cell r="B459">
            <v>1300.6199999999999</v>
          </cell>
        </row>
        <row r="460">
          <cell r="A460">
            <v>39100019</v>
          </cell>
          <cell r="B460">
            <v>1316.78</v>
          </cell>
        </row>
        <row r="461">
          <cell r="A461">
            <v>39100021</v>
          </cell>
          <cell r="B461">
            <v>1346.82</v>
          </cell>
        </row>
        <row r="462">
          <cell r="A462">
            <v>39100041</v>
          </cell>
          <cell r="B462">
            <v>1387.24</v>
          </cell>
        </row>
        <row r="463">
          <cell r="A463">
            <v>39100043</v>
          </cell>
          <cell r="B463">
            <v>1537.38</v>
          </cell>
        </row>
        <row r="464">
          <cell r="A464">
            <v>39100045</v>
          </cell>
          <cell r="B464">
            <v>1708.33</v>
          </cell>
        </row>
        <row r="465">
          <cell r="A465">
            <v>39100047</v>
          </cell>
          <cell r="B465">
            <v>1759.17</v>
          </cell>
        </row>
        <row r="466">
          <cell r="A466">
            <v>39100049</v>
          </cell>
          <cell r="B466">
            <v>1808.83</v>
          </cell>
        </row>
        <row r="467">
          <cell r="A467">
            <v>39100051</v>
          </cell>
          <cell r="B467">
            <v>1909.34</v>
          </cell>
        </row>
        <row r="468">
          <cell r="A468">
            <v>39100053</v>
          </cell>
          <cell r="B468">
            <v>1960.16</v>
          </cell>
        </row>
        <row r="469">
          <cell r="A469">
            <v>39100067</v>
          </cell>
          <cell r="B469">
            <v>2060.64</v>
          </cell>
        </row>
        <row r="470">
          <cell r="A470">
            <v>39100069</v>
          </cell>
          <cell r="B470">
            <v>2110.3000000000002</v>
          </cell>
        </row>
        <row r="471">
          <cell r="A471">
            <v>39100071</v>
          </cell>
          <cell r="B471">
            <v>2261.62</v>
          </cell>
        </row>
        <row r="472">
          <cell r="A472">
            <v>39100073</v>
          </cell>
          <cell r="B472">
            <v>2311.29</v>
          </cell>
        </row>
        <row r="473">
          <cell r="A473">
            <v>39100075</v>
          </cell>
          <cell r="B473">
            <v>2362.11</v>
          </cell>
        </row>
        <row r="474">
          <cell r="A474">
            <v>39100077</v>
          </cell>
          <cell r="B474">
            <v>2411.77</v>
          </cell>
        </row>
        <row r="475">
          <cell r="A475">
            <v>39100085</v>
          </cell>
          <cell r="B475">
            <v>2261.62</v>
          </cell>
        </row>
        <row r="476">
          <cell r="A476">
            <v>39100087</v>
          </cell>
          <cell r="B476">
            <v>2311.29</v>
          </cell>
        </row>
        <row r="477">
          <cell r="A477">
            <v>39100089</v>
          </cell>
          <cell r="B477">
            <v>2362.11</v>
          </cell>
        </row>
        <row r="478">
          <cell r="A478">
            <v>39100091</v>
          </cell>
          <cell r="B478">
            <v>2411.77</v>
          </cell>
        </row>
        <row r="479">
          <cell r="A479">
            <v>39100093</v>
          </cell>
          <cell r="B479">
            <v>2462.6</v>
          </cell>
        </row>
        <row r="480">
          <cell r="A480">
            <v>39100095</v>
          </cell>
          <cell r="B480">
            <v>2512.2800000000002</v>
          </cell>
        </row>
        <row r="481">
          <cell r="A481">
            <v>39100097</v>
          </cell>
          <cell r="B481">
            <v>1943.28</v>
          </cell>
        </row>
        <row r="482">
          <cell r="A482">
            <v>39100099</v>
          </cell>
          <cell r="B482">
            <v>1976.63</v>
          </cell>
        </row>
        <row r="483">
          <cell r="A483">
            <v>39100101</v>
          </cell>
          <cell r="B483">
            <v>2009.81</v>
          </cell>
        </row>
        <row r="484">
          <cell r="A484">
            <v>39100103</v>
          </cell>
          <cell r="B484">
            <v>2060.64</v>
          </cell>
        </row>
        <row r="485">
          <cell r="A485">
            <v>39100105</v>
          </cell>
          <cell r="B485">
            <v>2110.3000000000002</v>
          </cell>
        </row>
        <row r="486">
          <cell r="A486">
            <v>39100107</v>
          </cell>
          <cell r="B486">
            <v>2161.13</v>
          </cell>
        </row>
        <row r="487">
          <cell r="A487">
            <v>39100109</v>
          </cell>
          <cell r="B487">
            <v>2210.8000000000002</v>
          </cell>
        </row>
        <row r="488">
          <cell r="A488">
            <v>39100111</v>
          </cell>
          <cell r="B488">
            <v>2261.62</v>
          </cell>
        </row>
        <row r="489">
          <cell r="A489">
            <v>39100113</v>
          </cell>
          <cell r="B489">
            <v>2311.29</v>
          </cell>
        </row>
        <row r="490">
          <cell r="A490">
            <v>39100123</v>
          </cell>
          <cell r="B490">
            <v>2306.5300000000002</v>
          </cell>
        </row>
        <row r="491">
          <cell r="A491">
            <v>39100137</v>
          </cell>
          <cell r="B491">
            <v>2362.11</v>
          </cell>
        </row>
        <row r="492">
          <cell r="A492">
            <v>39100139</v>
          </cell>
          <cell r="B492">
            <v>2462.6</v>
          </cell>
        </row>
        <row r="493">
          <cell r="A493">
            <v>39100129</v>
          </cell>
          <cell r="B493">
            <v>2563.09</v>
          </cell>
        </row>
        <row r="494">
          <cell r="A494">
            <v>39100131</v>
          </cell>
          <cell r="B494">
            <v>2663.59</v>
          </cell>
        </row>
        <row r="495">
          <cell r="A495">
            <v>39100133</v>
          </cell>
          <cell r="B495">
            <v>2762.91</v>
          </cell>
        </row>
        <row r="496">
          <cell r="A496">
            <v>39100135</v>
          </cell>
          <cell r="B496">
            <v>2864.56</v>
          </cell>
        </row>
        <row r="497">
          <cell r="A497">
            <v>39100145</v>
          </cell>
          <cell r="B497">
            <v>2410.61</v>
          </cell>
        </row>
        <row r="498">
          <cell r="A498">
            <v>39100159</v>
          </cell>
          <cell r="B498">
            <v>2462.6</v>
          </cell>
        </row>
        <row r="499">
          <cell r="A499">
            <v>39100149</v>
          </cell>
          <cell r="B499">
            <v>2563.09</v>
          </cell>
        </row>
        <row r="500">
          <cell r="A500">
            <v>39100151</v>
          </cell>
          <cell r="B500">
            <v>2663.59</v>
          </cell>
        </row>
        <row r="501">
          <cell r="A501">
            <v>39100153</v>
          </cell>
          <cell r="B501">
            <v>2764.08</v>
          </cell>
        </row>
        <row r="502">
          <cell r="A502">
            <v>39100155</v>
          </cell>
          <cell r="B502">
            <v>2864.56</v>
          </cell>
        </row>
        <row r="503">
          <cell r="A503">
            <v>39100157</v>
          </cell>
          <cell r="B503">
            <v>2965.05</v>
          </cell>
        </row>
        <row r="504">
          <cell r="A504">
            <v>39100345</v>
          </cell>
          <cell r="B504">
            <v>2783.42</v>
          </cell>
        </row>
        <row r="505">
          <cell r="A505">
            <v>39100347</v>
          </cell>
          <cell r="B505">
            <v>2783.42</v>
          </cell>
        </row>
        <row r="506">
          <cell r="A506">
            <v>39100349</v>
          </cell>
          <cell r="B506">
            <v>3247.94</v>
          </cell>
        </row>
        <row r="507">
          <cell r="A507">
            <v>39100351</v>
          </cell>
          <cell r="B507">
            <v>3247.94</v>
          </cell>
        </row>
        <row r="508">
          <cell r="A508">
            <v>39100366</v>
          </cell>
          <cell r="B508">
            <v>3362.03</v>
          </cell>
        </row>
        <row r="509">
          <cell r="A509">
            <v>39100368</v>
          </cell>
          <cell r="B509">
            <v>3471.93</v>
          </cell>
        </row>
        <row r="510">
          <cell r="A510">
            <v>39100370</v>
          </cell>
          <cell r="B510">
            <v>3471.93</v>
          </cell>
        </row>
        <row r="511">
          <cell r="A511">
            <v>39100018</v>
          </cell>
          <cell r="B511">
            <v>1478.48</v>
          </cell>
        </row>
        <row r="512">
          <cell r="A512">
            <v>39100020</v>
          </cell>
          <cell r="B512">
            <v>1513.13</v>
          </cell>
        </row>
        <row r="513">
          <cell r="A513">
            <v>39100022</v>
          </cell>
          <cell r="B513">
            <v>1547.79</v>
          </cell>
        </row>
        <row r="514">
          <cell r="A514">
            <v>39100042</v>
          </cell>
          <cell r="B514">
            <v>1594</v>
          </cell>
        </row>
        <row r="515">
          <cell r="A515">
            <v>39100044</v>
          </cell>
          <cell r="B515">
            <v>1767.26</v>
          </cell>
        </row>
        <row r="516">
          <cell r="A516">
            <v>39100046</v>
          </cell>
          <cell r="B516">
            <v>1963.61</v>
          </cell>
        </row>
        <row r="517">
          <cell r="A517">
            <v>39100048</v>
          </cell>
          <cell r="B517">
            <v>2021.37</v>
          </cell>
        </row>
        <row r="518">
          <cell r="A518">
            <v>39100050</v>
          </cell>
          <cell r="B518">
            <v>2079.12</v>
          </cell>
        </row>
        <row r="519">
          <cell r="A519">
            <v>39100052</v>
          </cell>
          <cell r="B519">
            <v>2194.63</v>
          </cell>
        </row>
        <row r="520">
          <cell r="A520">
            <v>39100054</v>
          </cell>
          <cell r="B520">
            <v>2252.38</v>
          </cell>
        </row>
        <row r="521">
          <cell r="A521">
            <v>39100068</v>
          </cell>
          <cell r="B521">
            <v>2367.88</v>
          </cell>
        </row>
        <row r="522">
          <cell r="A522">
            <v>39100070</v>
          </cell>
          <cell r="B522">
            <v>2425.65</v>
          </cell>
        </row>
        <row r="523">
          <cell r="A523">
            <v>39100072</v>
          </cell>
          <cell r="B523">
            <v>2598.9</v>
          </cell>
        </row>
        <row r="524">
          <cell r="A524">
            <v>39100074</v>
          </cell>
          <cell r="B524">
            <v>2656.65</v>
          </cell>
        </row>
        <row r="525">
          <cell r="A525">
            <v>39100076</v>
          </cell>
          <cell r="B525">
            <v>2714.39</v>
          </cell>
        </row>
        <row r="526">
          <cell r="A526">
            <v>39100078</v>
          </cell>
          <cell r="B526">
            <v>2772.16</v>
          </cell>
        </row>
        <row r="527">
          <cell r="A527">
            <v>39100086</v>
          </cell>
          <cell r="B527">
            <v>2598.9</v>
          </cell>
        </row>
        <row r="528">
          <cell r="A528">
            <v>39100088</v>
          </cell>
          <cell r="B528">
            <v>2656.65</v>
          </cell>
        </row>
        <row r="529">
          <cell r="A529">
            <v>39100090</v>
          </cell>
          <cell r="B529">
            <v>2714.39</v>
          </cell>
        </row>
        <row r="530">
          <cell r="A530">
            <v>39100092</v>
          </cell>
          <cell r="B530">
            <v>2772.16</v>
          </cell>
        </row>
        <row r="531">
          <cell r="A531">
            <v>39100094</v>
          </cell>
          <cell r="B531">
            <v>2829.91</v>
          </cell>
        </row>
        <row r="532">
          <cell r="A532">
            <v>39100096</v>
          </cell>
          <cell r="B532">
            <v>2887.66</v>
          </cell>
        </row>
        <row r="533">
          <cell r="A533">
            <v>39100098</v>
          </cell>
          <cell r="B533">
            <v>2242.2800000000002</v>
          </cell>
        </row>
        <row r="534">
          <cell r="A534">
            <v>39100100</v>
          </cell>
          <cell r="B534">
            <v>2277.61</v>
          </cell>
        </row>
        <row r="535">
          <cell r="A535">
            <v>39100102</v>
          </cell>
          <cell r="B535">
            <v>2310.13</v>
          </cell>
        </row>
        <row r="536">
          <cell r="A536">
            <v>39100104</v>
          </cell>
          <cell r="B536">
            <v>2367.88</v>
          </cell>
        </row>
        <row r="537">
          <cell r="A537">
            <v>39100106</v>
          </cell>
          <cell r="B537">
            <v>2425.65</v>
          </cell>
        </row>
        <row r="538">
          <cell r="A538">
            <v>39100108</v>
          </cell>
          <cell r="B538">
            <v>2483.4</v>
          </cell>
        </row>
        <row r="539">
          <cell r="A539">
            <v>39100110</v>
          </cell>
          <cell r="B539">
            <v>2541.15</v>
          </cell>
        </row>
        <row r="540">
          <cell r="A540">
            <v>39100112</v>
          </cell>
          <cell r="B540">
            <v>2598.9</v>
          </cell>
        </row>
        <row r="541">
          <cell r="A541">
            <v>39100114</v>
          </cell>
          <cell r="B541">
            <v>2656.65</v>
          </cell>
        </row>
        <row r="542">
          <cell r="A542">
            <v>39100124</v>
          </cell>
          <cell r="B542">
            <v>2659.46</v>
          </cell>
        </row>
        <row r="543">
          <cell r="A543">
            <v>39100138</v>
          </cell>
          <cell r="B543">
            <v>2714.39</v>
          </cell>
        </row>
        <row r="544">
          <cell r="A544">
            <v>39100140</v>
          </cell>
          <cell r="B544">
            <v>2829.91</v>
          </cell>
        </row>
        <row r="545">
          <cell r="A545">
            <v>39100130</v>
          </cell>
          <cell r="B545">
            <v>2945.43</v>
          </cell>
        </row>
        <row r="546">
          <cell r="A546">
            <v>39100132</v>
          </cell>
          <cell r="B546">
            <v>3060.93</v>
          </cell>
        </row>
        <row r="547">
          <cell r="A547">
            <v>39100134</v>
          </cell>
          <cell r="B547">
            <v>3176.44</v>
          </cell>
        </row>
        <row r="548">
          <cell r="A548">
            <v>39100136</v>
          </cell>
          <cell r="B548">
            <v>3291.94</v>
          </cell>
        </row>
        <row r="549">
          <cell r="A549">
            <v>39100146</v>
          </cell>
          <cell r="B549">
            <v>2774.96</v>
          </cell>
        </row>
        <row r="550">
          <cell r="A550">
            <v>39100160</v>
          </cell>
          <cell r="B550">
            <v>2830.02</v>
          </cell>
        </row>
        <row r="551">
          <cell r="A551">
            <v>39100150</v>
          </cell>
          <cell r="B551">
            <v>2945.43</v>
          </cell>
        </row>
        <row r="552">
          <cell r="A552">
            <v>39100152</v>
          </cell>
          <cell r="B552">
            <v>3060.93</v>
          </cell>
        </row>
        <row r="553">
          <cell r="A553">
            <v>39100154</v>
          </cell>
          <cell r="B553">
            <v>3176.44</v>
          </cell>
        </row>
        <row r="554">
          <cell r="A554">
            <v>39100156</v>
          </cell>
          <cell r="B554">
            <v>3291.94</v>
          </cell>
        </row>
        <row r="555">
          <cell r="A555">
            <v>39100158</v>
          </cell>
          <cell r="B555">
            <v>3407.44</v>
          </cell>
        </row>
        <row r="556">
          <cell r="A556">
            <v>39100346</v>
          </cell>
          <cell r="B556">
            <v>3198.2</v>
          </cell>
        </row>
        <row r="557">
          <cell r="A557">
            <v>39100348</v>
          </cell>
          <cell r="B557">
            <v>3198.2</v>
          </cell>
        </row>
        <row r="558">
          <cell r="A558">
            <v>39100350</v>
          </cell>
          <cell r="B558">
            <v>3731.86</v>
          </cell>
        </row>
        <row r="559">
          <cell r="A559">
            <v>39100352</v>
          </cell>
          <cell r="B559">
            <v>3731.86</v>
          </cell>
        </row>
        <row r="560">
          <cell r="A560">
            <v>39100367</v>
          </cell>
          <cell r="B560">
            <v>3848.72</v>
          </cell>
        </row>
        <row r="561">
          <cell r="A561">
            <v>39100369</v>
          </cell>
          <cell r="B561">
            <v>3956.37</v>
          </cell>
        </row>
        <row r="562">
          <cell r="A562">
            <v>39100371</v>
          </cell>
          <cell r="B562">
            <v>3956.37</v>
          </cell>
        </row>
        <row r="563">
          <cell r="A563">
            <v>39022210</v>
          </cell>
          <cell r="B563">
            <v>259.89999999999998</v>
          </cell>
        </row>
        <row r="564">
          <cell r="A564">
            <v>39022211</v>
          </cell>
          <cell r="B564">
            <v>283</v>
          </cell>
        </row>
        <row r="565">
          <cell r="A565">
            <v>39022212</v>
          </cell>
          <cell r="B565">
            <v>306.10000000000002</v>
          </cell>
        </row>
        <row r="566">
          <cell r="A566">
            <v>39022213</v>
          </cell>
          <cell r="B566">
            <v>294.55</v>
          </cell>
        </row>
        <row r="567">
          <cell r="A567">
            <v>39022214</v>
          </cell>
          <cell r="B567">
            <v>317.64999999999998</v>
          </cell>
        </row>
        <row r="568">
          <cell r="A568">
            <v>39022215</v>
          </cell>
          <cell r="B568">
            <v>340.75</v>
          </cell>
        </row>
        <row r="569">
          <cell r="A569">
            <v>39020827</v>
          </cell>
          <cell r="B569">
            <v>334.97</v>
          </cell>
        </row>
        <row r="570">
          <cell r="A570">
            <v>39020828</v>
          </cell>
          <cell r="B570">
            <v>358.07</v>
          </cell>
        </row>
        <row r="571">
          <cell r="A571">
            <v>39020829</v>
          </cell>
          <cell r="B571">
            <v>383.49</v>
          </cell>
        </row>
        <row r="572">
          <cell r="A572">
            <v>39020848</v>
          </cell>
          <cell r="B572">
            <v>375.38</v>
          </cell>
        </row>
        <row r="573">
          <cell r="A573">
            <v>39020849</v>
          </cell>
          <cell r="B573">
            <v>398.49</v>
          </cell>
        </row>
        <row r="574">
          <cell r="A574">
            <v>39020850</v>
          </cell>
          <cell r="B574">
            <v>421.59</v>
          </cell>
        </row>
        <row r="575">
          <cell r="A575">
            <v>39022255</v>
          </cell>
          <cell r="B575">
            <v>375.38</v>
          </cell>
        </row>
        <row r="576">
          <cell r="A576">
            <v>39022256</v>
          </cell>
          <cell r="B576">
            <v>398.49</v>
          </cell>
        </row>
        <row r="577">
          <cell r="A577">
            <v>39022257</v>
          </cell>
          <cell r="B577">
            <v>421.59</v>
          </cell>
        </row>
        <row r="578">
          <cell r="A578">
            <v>39022196</v>
          </cell>
          <cell r="B578">
            <v>340.75</v>
          </cell>
        </row>
        <row r="579">
          <cell r="A579">
            <v>39022200</v>
          </cell>
          <cell r="B579">
            <v>375.38</v>
          </cell>
        </row>
        <row r="580">
          <cell r="A580">
            <v>39020820</v>
          </cell>
          <cell r="B580">
            <v>468.97</v>
          </cell>
        </row>
        <row r="581">
          <cell r="A581">
            <v>39020834</v>
          </cell>
          <cell r="B581">
            <v>504.77</v>
          </cell>
        </row>
        <row r="582">
          <cell r="A582">
            <v>39020838</v>
          </cell>
          <cell r="B582">
            <v>505.72</v>
          </cell>
        </row>
        <row r="583">
          <cell r="A583">
            <v>39020988</v>
          </cell>
          <cell r="B583">
            <v>563.66999999999996</v>
          </cell>
        </row>
        <row r="584">
          <cell r="A584">
            <v>39020992</v>
          </cell>
          <cell r="B584">
            <v>563.66999999999996</v>
          </cell>
        </row>
        <row r="585">
          <cell r="A585">
            <v>39021002</v>
          </cell>
          <cell r="B585">
            <v>638.75</v>
          </cell>
        </row>
        <row r="586">
          <cell r="A586">
            <v>39021009</v>
          </cell>
          <cell r="B586">
            <v>684.96</v>
          </cell>
        </row>
        <row r="587">
          <cell r="A587">
            <v>39022204</v>
          </cell>
          <cell r="B587">
            <v>340.75</v>
          </cell>
        </row>
        <row r="588">
          <cell r="A588">
            <v>39022207</v>
          </cell>
          <cell r="B588">
            <v>375.38</v>
          </cell>
        </row>
        <row r="589">
          <cell r="A589">
            <v>39021191</v>
          </cell>
          <cell r="B589">
            <v>462.02</v>
          </cell>
        </row>
        <row r="590">
          <cell r="A590">
            <v>39021194</v>
          </cell>
          <cell r="B590">
            <v>504.77</v>
          </cell>
        </row>
        <row r="591">
          <cell r="A591">
            <v>39021197</v>
          </cell>
          <cell r="B591">
            <v>505.72</v>
          </cell>
        </row>
        <row r="592">
          <cell r="A592">
            <v>39021200</v>
          </cell>
          <cell r="B592">
            <v>563.66999999999996</v>
          </cell>
        </row>
        <row r="593">
          <cell r="A593">
            <v>39021203</v>
          </cell>
          <cell r="B593">
            <v>564.75</v>
          </cell>
        </row>
        <row r="594">
          <cell r="A594">
            <v>39021206</v>
          </cell>
          <cell r="B594">
            <v>638.75</v>
          </cell>
        </row>
        <row r="595">
          <cell r="A595">
            <v>39021209</v>
          </cell>
          <cell r="B595">
            <v>684.96</v>
          </cell>
        </row>
        <row r="596">
          <cell r="A596">
            <v>39022248</v>
          </cell>
          <cell r="B596">
            <v>38.130000000000003</v>
          </cell>
        </row>
        <row r="597">
          <cell r="A597">
            <v>39022252</v>
          </cell>
          <cell r="B597">
            <v>69.3</v>
          </cell>
        </row>
        <row r="598">
          <cell r="A598">
            <v>39021018</v>
          </cell>
          <cell r="B598">
            <v>85.47</v>
          </cell>
        </row>
        <row r="599">
          <cell r="A599">
            <v>39021020</v>
          </cell>
          <cell r="B599">
            <v>99.34</v>
          </cell>
        </row>
        <row r="600">
          <cell r="A600">
            <v>39021016</v>
          </cell>
          <cell r="B600">
            <v>38.130000000000003</v>
          </cell>
        </row>
        <row r="601">
          <cell r="A601">
            <v>19551046</v>
          </cell>
          <cell r="B601">
            <v>71.62</v>
          </cell>
        </row>
        <row r="602">
          <cell r="A602">
            <v>39021018</v>
          </cell>
          <cell r="B602">
            <v>85.47</v>
          </cell>
        </row>
        <row r="603">
          <cell r="A603">
            <v>39021020</v>
          </cell>
          <cell r="B603">
            <v>99.34</v>
          </cell>
        </row>
        <row r="604">
          <cell r="A604">
            <v>39022395</v>
          </cell>
          <cell r="B604">
            <v>83.17</v>
          </cell>
        </row>
        <row r="605">
          <cell r="A605">
            <v>39018004</v>
          </cell>
          <cell r="B605">
            <v>83.17</v>
          </cell>
        </row>
        <row r="606">
          <cell r="A606">
            <v>39022260</v>
          </cell>
          <cell r="B606">
            <v>27.71</v>
          </cell>
        </row>
        <row r="607">
          <cell r="A607">
            <v>39022262</v>
          </cell>
          <cell r="B607">
            <v>30.04</v>
          </cell>
        </row>
        <row r="608">
          <cell r="A608">
            <v>19141819</v>
          </cell>
          <cell r="B608">
            <v>24.26</v>
          </cell>
        </row>
        <row r="609">
          <cell r="A609">
            <v>19141820</v>
          </cell>
          <cell r="B609">
            <v>53.15</v>
          </cell>
        </row>
        <row r="610">
          <cell r="A610">
            <v>19550241</v>
          </cell>
          <cell r="B610">
            <v>106.26</v>
          </cell>
        </row>
        <row r="611">
          <cell r="A611">
            <v>39017477</v>
          </cell>
          <cell r="B611">
            <v>159.4</v>
          </cell>
        </row>
        <row r="612">
          <cell r="A612">
            <v>39017478</v>
          </cell>
          <cell r="B612">
            <v>212.52</v>
          </cell>
        </row>
        <row r="613">
          <cell r="A613">
            <v>19143335</v>
          </cell>
          <cell r="B613">
            <v>110.89</v>
          </cell>
        </row>
        <row r="614">
          <cell r="A614">
            <v>19143336</v>
          </cell>
          <cell r="B614">
            <v>278.02</v>
          </cell>
        </row>
        <row r="615">
          <cell r="A615">
            <v>39017474</v>
          </cell>
          <cell r="B615">
            <v>512.85</v>
          </cell>
        </row>
        <row r="616">
          <cell r="A616">
            <v>39017475</v>
          </cell>
          <cell r="B616">
            <v>775.06</v>
          </cell>
        </row>
        <row r="617">
          <cell r="A617">
            <v>39017476</v>
          </cell>
          <cell r="B617">
            <v>1025.7</v>
          </cell>
        </row>
        <row r="618">
          <cell r="A618">
            <v>39021975</v>
          </cell>
          <cell r="B618">
            <v>57.75</v>
          </cell>
        </row>
        <row r="619">
          <cell r="A619">
            <v>1019282</v>
          </cell>
          <cell r="B619">
            <v>8.07</v>
          </cell>
        </row>
        <row r="620">
          <cell r="A620">
            <v>39020973</v>
          </cell>
          <cell r="B620">
            <v>18.48</v>
          </cell>
        </row>
        <row r="621">
          <cell r="A621">
            <v>39020974</v>
          </cell>
          <cell r="B621">
            <v>64.69</v>
          </cell>
        </row>
        <row r="622">
          <cell r="A622">
            <v>19551111</v>
          </cell>
          <cell r="B622">
            <v>20.8</v>
          </cell>
        </row>
        <row r="623">
          <cell r="A623">
            <v>39020184</v>
          </cell>
          <cell r="B623">
            <v>33.49</v>
          </cell>
        </row>
        <row r="624">
          <cell r="A624">
            <v>11191498</v>
          </cell>
          <cell r="B624">
            <v>46.2</v>
          </cell>
        </row>
        <row r="625">
          <cell r="A625">
            <v>19135655</v>
          </cell>
          <cell r="B625">
            <v>129.37</v>
          </cell>
        </row>
        <row r="626">
          <cell r="A626">
            <v>19131746</v>
          </cell>
          <cell r="B626">
            <v>145.53</v>
          </cell>
        </row>
        <row r="627">
          <cell r="A627">
            <v>19139718</v>
          </cell>
          <cell r="B627">
            <v>176.73</v>
          </cell>
        </row>
        <row r="628">
          <cell r="A628">
            <v>241966</v>
          </cell>
          <cell r="B628">
            <v>51.98</v>
          </cell>
        </row>
        <row r="629">
          <cell r="A629">
            <v>265480</v>
          </cell>
          <cell r="B629">
            <v>129.37</v>
          </cell>
        </row>
        <row r="630">
          <cell r="A630">
            <v>25198402</v>
          </cell>
          <cell r="B630">
            <v>144.38</v>
          </cell>
        </row>
        <row r="631">
          <cell r="A631">
            <v>11150856</v>
          </cell>
          <cell r="B631">
            <v>160.54</v>
          </cell>
        </row>
        <row r="632">
          <cell r="A632">
            <v>25145802</v>
          </cell>
          <cell r="B632">
            <v>200.97</v>
          </cell>
        </row>
        <row r="633">
          <cell r="A633">
            <v>18040148</v>
          </cell>
          <cell r="B633">
            <v>101.66</v>
          </cell>
        </row>
        <row r="634">
          <cell r="A634">
            <v>18072642</v>
          </cell>
          <cell r="B634">
            <v>124.75</v>
          </cell>
        </row>
        <row r="635">
          <cell r="A635">
            <v>18060162</v>
          </cell>
          <cell r="B635">
            <v>176.73</v>
          </cell>
        </row>
        <row r="636">
          <cell r="A636">
            <v>524551</v>
          </cell>
          <cell r="B636">
            <v>26.57</v>
          </cell>
        </row>
        <row r="637">
          <cell r="A637">
            <v>520454</v>
          </cell>
          <cell r="B637">
            <v>40.43</v>
          </cell>
        </row>
        <row r="638">
          <cell r="A638">
            <v>522313</v>
          </cell>
          <cell r="B638">
            <v>82</v>
          </cell>
        </row>
        <row r="639">
          <cell r="A639">
            <v>524370</v>
          </cell>
          <cell r="B639">
            <v>30.04</v>
          </cell>
        </row>
        <row r="640">
          <cell r="A640">
            <v>524371</v>
          </cell>
          <cell r="B640">
            <v>41.58</v>
          </cell>
        </row>
        <row r="641">
          <cell r="A641">
            <v>522262</v>
          </cell>
          <cell r="B641">
            <v>117.81</v>
          </cell>
        </row>
        <row r="642">
          <cell r="A642">
            <v>522263</v>
          </cell>
          <cell r="B642">
            <v>195.2</v>
          </cell>
        </row>
        <row r="643">
          <cell r="A643">
            <v>522264</v>
          </cell>
          <cell r="B643">
            <v>324.58</v>
          </cell>
        </row>
        <row r="644">
          <cell r="A644">
            <v>39018686</v>
          </cell>
          <cell r="B644">
            <v>144.38</v>
          </cell>
        </row>
        <row r="645">
          <cell r="A645">
            <v>39018687</v>
          </cell>
          <cell r="B645">
            <v>221.77</v>
          </cell>
        </row>
        <row r="646">
          <cell r="A646">
            <v>522265</v>
          </cell>
          <cell r="B646">
            <v>352.31</v>
          </cell>
        </row>
        <row r="647">
          <cell r="A647">
            <v>39018688</v>
          </cell>
          <cell r="B647">
            <v>82</v>
          </cell>
        </row>
        <row r="648">
          <cell r="A648">
            <v>39018689</v>
          </cell>
          <cell r="B648">
            <v>162.87</v>
          </cell>
        </row>
        <row r="649">
          <cell r="A649">
            <v>39018690</v>
          </cell>
          <cell r="B649">
            <v>324.58</v>
          </cell>
        </row>
        <row r="650">
          <cell r="A650">
            <v>39019073</v>
          </cell>
          <cell r="B650">
            <v>487.45</v>
          </cell>
        </row>
        <row r="651">
          <cell r="A651">
            <v>39019064</v>
          </cell>
          <cell r="B651">
            <v>94.72</v>
          </cell>
        </row>
        <row r="652">
          <cell r="A652">
            <v>39019065</v>
          </cell>
          <cell r="B652">
            <v>189.42</v>
          </cell>
        </row>
        <row r="653">
          <cell r="A653">
            <v>39019066</v>
          </cell>
          <cell r="B653">
            <v>380.02</v>
          </cell>
        </row>
        <row r="654">
          <cell r="A654">
            <v>39019071</v>
          </cell>
          <cell r="B654">
            <v>569.45000000000005</v>
          </cell>
        </row>
        <row r="655">
          <cell r="A655">
            <v>39018691</v>
          </cell>
          <cell r="B655">
            <v>94.72</v>
          </cell>
        </row>
        <row r="656">
          <cell r="A656">
            <v>39019062</v>
          </cell>
          <cell r="B656">
            <v>189.42</v>
          </cell>
        </row>
        <row r="657">
          <cell r="A657">
            <v>39019063</v>
          </cell>
          <cell r="B657">
            <v>380.02</v>
          </cell>
        </row>
        <row r="658">
          <cell r="A658">
            <v>39019072</v>
          </cell>
          <cell r="B658">
            <v>569.45000000000005</v>
          </cell>
        </row>
        <row r="659">
          <cell r="A659">
            <v>39019067</v>
          </cell>
          <cell r="B659">
            <v>189.42</v>
          </cell>
        </row>
        <row r="660">
          <cell r="A660">
            <v>39019068</v>
          </cell>
          <cell r="B660">
            <v>380.02</v>
          </cell>
        </row>
        <row r="661">
          <cell r="A661">
            <v>39019069</v>
          </cell>
          <cell r="B661">
            <v>758.87</v>
          </cell>
        </row>
        <row r="662">
          <cell r="A662">
            <v>39019070</v>
          </cell>
          <cell r="B662">
            <v>1138.9000000000001</v>
          </cell>
        </row>
        <row r="663">
          <cell r="A663">
            <v>39000515</v>
          </cell>
          <cell r="B663">
            <v>2.2999999999999998</v>
          </cell>
        </row>
        <row r="664">
          <cell r="A664">
            <v>109515</v>
          </cell>
          <cell r="B664">
            <v>3.47</v>
          </cell>
        </row>
        <row r="665">
          <cell r="A665">
            <v>520853</v>
          </cell>
          <cell r="B665">
            <v>4.6100000000000003</v>
          </cell>
        </row>
        <row r="666">
          <cell r="A666">
            <v>1009773</v>
          </cell>
          <cell r="B666">
            <v>42.73</v>
          </cell>
        </row>
        <row r="667">
          <cell r="A667">
            <v>411503</v>
          </cell>
          <cell r="B667">
            <v>33.49</v>
          </cell>
        </row>
        <row r="668">
          <cell r="A668">
            <v>39000507</v>
          </cell>
          <cell r="B668">
            <v>54.29</v>
          </cell>
        </row>
        <row r="669">
          <cell r="A669">
            <v>48829253</v>
          </cell>
          <cell r="B669">
            <v>324.58</v>
          </cell>
        </row>
        <row r="670">
          <cell r="A670">
            <v>48829254</v>
          </cell>
          <cell r="B670">
            <v>348.83</v>
          </cell>
        </row>
        <row r="671">
          <cell r="A671">
            <v>48829255</v>
          </cell>
          <cell r="B671">
            <v>412.36</v>
          </cell>
        </row>
        <row r="672">
          <cell r="A672">
            <v>1056711</v>
          </cell>
          <cell r="B672">
            <v>219.47</v>
          </cell>
        </row>
        <row r="673">
          <cell r="A673">
            <v>1056712</v>
          </cell>
          <cell r="B673">
            <v>240.24</v>
          </cell>
        </row>
        <row r="674">
          <cell r="A674">
            <v>1056713</v>
          </cell>
          <cell r="B674">
            <v>303.77999999999997</v>
          </cell>
        </row>
        <row r="675">
          <cell r="A675">
            <v>48816272</v>
          </cell>
          <cell r="B675">
            <v>205.61</v>
          </cell>
        </row>
        <row r="676">
          <cell r="A676">
            <v>48816273</v>
          </cell>
          <cell r="B676">
            <v>231.01</v>
          </cell>
        </row>
        <row r="677">
          <cell r="A677">
            <v>48816274</v>
          </cell>
          <cell r="B677">
            <v>287.61</v>
          </cell>
        </row>
        <row r="678">
          <cell r="A678">
            <v>1056707</v>
          </cell>
          <cell r="B678">
            <v>117.81</v>
          </cell>
        </row>
        <row r="679">
          <cell r="A679">
            <v>1056708</v>
          </cell>
          <cell r="B679">
            <v>146.69999999999999</v>
          </cell>
        </row>
        <row r="680">
          <cell r="A680">
            <v>1056709</v>
          </cell>
          <cell r="B680">
            <v>157.1</v>
          </cell>
        </row>
        <row r="681">
          <cell r="A681">
            <v>39021944</v>
          </cell>
          <cell r="B681">
            <v>5.78</v>
          </cell>
        </row>
        <row r="682">
          <cell r="A682">
            <v>19551115</v>
          </cell>
          <cell r="B682">
            <v>5.78</v>
          </cell>
        </row>
        <row r="683">
          <cell r="A683">
            <v>19551100</v>
          </cell>
          <cell r="B683">
            <v>5.78</v>
          </cell>
        </row>
        <row r="684">
          <cell r="A684">
            <v>19551113</v>
          </cell>
          <cell r="B684">
            <v>5.78</v>
          </cell>
        </row>
        <row r="685">
          <cell r="A685">
            <v>19551114</v>
          </cell>
          <cell r="B685">
            <v>10.39</v>
          </cell>
        </row>
        <row r="686">
          <cell r="A686">
            <v>19551116</v>
          </cell>
          <cell r="B686">
            <v>10.39</v>
          </cell>
        </row>
        <row r="687">
          <cell r="A687">
            <v>18076348</v>
          </cell>
          <cell r="B687">
            <v>27.71</v>
          </cell>
        </row>
        <row r="688">
          <cell r="A688">
            <v>19551353</v>
          </cell>
          <cell r="B688">
            <v>83.17</v>
          </cell>
        </row>
        <row r="689">
          <cell r="A689">
            <v>39021943</v>
          </cell>
          <cell r="B689">
            <v>133.99</v>
          </cell>
        </row>
        <row r="690">
          <cell r="A690">
            <v>520485</v>
          </cell>
          <cell r="B690">
            <v>162.87</v>
          </cell>
        </row>
        <row r="691">
          <cell r="A691">
            <v>19555829</v>
          </cell>
          <cell r="B691">
            <v>845.51</v>
          </cell>
        </row>
        <row r="692">
          <cell r="A692">
            <v>19555833</v>
          </cell>
          <cell r="B692">
            <v>1233.6199999999999</v>
          </cell>
        </row>
        <row r="693">
          <cell r="A693">
            <v>19550243</v>
          </cell>
          <cell r="B693">
            <v>205.39</v>
          </cell>
        </row>
        <row r="694">
          <cell r="A694">
            <v>19556023</v>
          </cell>
          <cell r="B694">
            <v>845.51</v>
          </cell>
        </row>
        <row r="695">
          <cell r="A695">
            <v>19556024</v>
          </cell>
          <cell r="B695">
            <v>1233.6199999999999</v>
          </cell>
        </row>
        <row r="696">
          <cell r="A696">
            <v>19203128</v>
          </cell>
          <cell r="B696">
            <v>215.99</v>
          </cell>
        </row>
        <row r="697">
          <cell r="A697">
            <v>19203129</v>
          </cell>
          <cell r="B697">
            <v>371.92</v>
          </cell>
        </row>
        <row r="698">
          <cell r="A698">
            <v>19203127</v>
          </cell>
          <cell r="B698">
            <v>182.5</v>
          </cell>
        </row>
        <row r="699">
          <cell r="A699">
            <v>19140910</v>
          </cell>
          <cell r="B699">
            <v>155.93</v>
          </cell>
        </row>
        <row r="700">
          <cell r="A700">
            <v>19133943</v>
          </cell>
          <cell r="B700">
            <v>257.58</v>
          </cell>
        </row>
        <row r="701">
          <cell r="A701">
            <v>19134197</v>
          </cell>
          <cell r="B701">
            <v>326.97000000000003</v>
          </cell>
        </row>
        <row r="702">
          <cell r="A702">
            <v>19141748</v>
          </cell>
          <cell r="B702">
            <v>78.55</v>
          </cell>
        </row>
        <row r="703">
          <cell r="A703">
            <v>19550242</v>
          </cell>
          <cell r="B703">
            <v>154.77000000000001</v>
          </cell>
        </row>
        <row r="704">
          <cell r="A704">
            <v>19143337</v>
          </cell>
          <cell r="B704">
            <v>466.66</v>
          </cell>
        </row>
        <row r="705">
          <cell r="A705">
            <v>1111397</v>
          </cell>
          <cell r="B705">
            <v>881.85</v>
          </cell>
        </row>
        <row r="706">
          <cell r="A706">
            <v>1111455</v>
          </cell>
          <cell r="B706">
            <v>1403.21</v>
          </cell>
        </row>
        <row r="707">
          <cell r="A707">
            <v>1111456</v>
          </cell>
          <cell r="B707">
            <v>1403.37</v>
          </cell>
        </row>
        <row r="708">
          <cell r="A708">
            <v>1111457</v>
          </cell>
          <cell r="B708">
            <v>1562.15</v>
          </cell>
        </row>
        <row r="709">
          <cell r="A709">
            <v>1111401</v>
          </cell>
          <cell r="B709">
            <v>1209.4000000000001</v>
          </cell>
        </row>
        <row r="710">
          <cell r="A710">
            <v>1111472</v>
          </cell>
          <cell r="B710">
            <v>1847.7</v>
          </cell>
        </row>
        <row r="711">
          <cell r="A711">
            <v>1111473</v>
          </cell>
          <cell r="B711">
            <v>1998.87</v>
          </cell>
        </row>
        <row r="712">
          <cell r="A712">
            <v>1111475</v>
          </cell>
          <cell r="B712">
            <v>2049.27</v>
          </cell>
        </row>
        <row r="713">
          <cell r="A713">
            <v>1118724</v>
          </cell>
          <cell r="B713">
            <v>1615.25</v>
          </cell>
        </row>
        <row r="714">
          <cell r="A714">
            <v>1121918</v>
          </cell>
          <cell r="B714">
            <v>2205.5300000000002</v>
          </cell>
        </row>
        <row r="715">
          <cell r="A715">
            <v>11037742</v>
          </cell>
          <cell r="B715">
            <v>40.43</v>
          </cell>
        </row>
        <row r="716">
          <cell r="A716">
            <v>11037743</v>
          </cell>
          <cell r="B716">
            <v>45.97</v>
          </cell>
        </row>
        <row r="717">
          <cell r="A717">
            <v>11037744</v>
          </cell>
          <cell r="B717">
            <v>58.31</v>
          </cell>
        </row>
        <row r="718">
          <cell r="A718">
            <v>11037745</v>
          </cell>
          <cell r="B718">
            <v>72.77</v>
          </cell>
        </row>
        <row r="719">
          <cell r="A719">
            <v>11037746</v>
          </cell>
          <cell r="B719">
            <v>85.23</v>
          </cell>
        </row>
        <row r="720">
          <cell r="A720">
            <v>11037747</v>
          </cell>
          <cell r="B720">
            <v>101.66</v>
          </cell>
        </row>
        <row r="721">
          <cell r="A721">
            <v>11037748</v>
          </cell>
          <cell r="B721">
            <v>117.81</v>
          </cell>
        </row>
        <row r="722">
          <cell r="A722">
            <v>29128401</v>
          </cell>
          <cell r="B722">
            <v>66.739999999999995</v>
          </cell>
        </row>
        <row r="723">
          <cell r="A723">
            <v>29128422</v>
          </cell>
          <cell r="B723">
            <v>191.74</v>
          </cell>
        </row>
        <row r="724">
          <cell r="A724">
            <v>29128442</v>
          </cell>
          <cell r="B724">
            <v>338.44</v>
          </cell>
        </row>
        <row r="725">
          <cell r="A725">
            <v>530561</v>
          </cell>
          <cell r="B725">
            <v>524.39</v>
          </cell>
        </row>
        <row r="726">
          <cell r="A726">
            <v>1086547</v>
          </cell>
          <cell r="B726">
            <v>55.45</v>
          </cell>
        </row>
        <row r="727">
          <cell r="A727">
            <v>19072366</v>
          </cell>
          <cell r="B727">
            <v>46.2</v>
          </cell>
        </row>
        <row r="728">
          <cell r="A728">
            <v>1035729</v>
          </cell>
          <cell r="B728">
            <v>75.290000000000006</v>
          </cell>
        </row>
        <row r="729">
          <cell r="A729">
            <v>11190765</v>
          </cell>
          <cell r="B729">
            <v>213.69</v>
          </cell>
        </row>
        <row r="730">
          <cell r="A730">
            <v>11190764</v>
          </cell>
          <cell r="B730">
            <v>213.69</v>
          </cell>
        </row>
        <row r="731">
          <cell r="A731">
            <v>11190763</v>
          </cell>
          <cell r="B731">
            <v>213.69</v>
          </cell>
        </row>
        <row r="732">
          <cell r="A732">
            <v>11190762</v>
          </cell>
          <cell r="B732">
            <v>213.69</v>
          </cell>
        </row>
        <row r="733">
          <cell r="A733">
            <v>11190761</v>
          </cell>
          <cell r="B733">
            <v>213.69</v>
          </cell>
        </row>
        <row r="734">
          <cell r="A734">
            <v>19071491</v>
          </cell>
          <cell r="B734">
            <v>148.99</v>
          </cell>
        </row>
        <row r="735">
          <cell r="A735">
            <v>19071492</v>
          </cell>
          <cell r="B735">
            <v>148.99</v>
          </cell>
        </row>
        <row r="736">
          <cell r="A736">
            <v>19071493</v>
          </cell>
          <cell r="B736">
            <v>148.99</v>
          </cell>
        </row>
        <row r="737">
          <cell r="A737">
            <v>19071494</v>
          </cell>
          <cell r="B737">
            <v>148.99</v>
          </cell>
        </row>
        <row r="738">
          <cell r="A738">
            <v>19071495</v>
          </cell>
          <cell r="B738">
            <v>148.99</v>
          </cell>
        </row>
        <row r="739">
          <cell r="A739">
            <v>1119203</v>
          </cell>
          <cell r="B739">
            <v>1352.25</v>
          </cell>
        </row>
        <row r="740">
          <cell r="A740">
            <v>1119204</v>
          </cell>
          <cell r="B740">
            <v>1352.25</v>
          </cell>
        </row>
        <row r="741">
          <cell r="A741">
            <v>1119205</v>
          </cell>
          <cell r="B741">
            <v>1569.96</v>
          </cell>
        </row>
        <row r="742">
          <cell r="A742">
            <v>1119206</v>
          </cell>
          <cell r="B742">
            <v>1569.96</v>
          </cell>
        </row>
        <row r="743">
          <cell r="A743">
            <v>1118726</v>
          </cell>
          <cell r="B743">
            <v>998.52</v>
          </cell>
        </row>
        <row r="744">
          <cell r="A744">
            <v>1118727</v>
          </cell>
          <cell r="B744">
            <v>998.52</v>
          </cell>
        </row>
        <row r="745">
          <cell r="A745">
            <v>1118729</v>
          </cell>
          <cell r="B745">
            <v>1323.4</v>
          </cell>
        </row>
        <row r="746">
          <cell r="A746">
            <v>19071721</v>
          </cell>
          <cell r="B746">
            <v>84.33</v>
          </cell>
        </row>
        <row r="747">
          <cell r="A747">
            <v>1118748</v>
          </cell>
          <cell r="B747">
            <v>42.64</v>
          </cell>
        </row>
        <row r="748">
          <cell r="A748">
            <v>1118747</v>
          </cell>
          <cell r="B748">
            <v>309.85000000000002</v>
          </cell>
        </row>
        <row r="749">
          <cell r="A749">
            <v>1118746</v>
          </cell>
          <cell r="B749">
            <v>203.66</v>
          </cell>
        </row>
        <row r="750">
          <cell r="A750">
            <v>1111935</v>
          </cell>
          <cell r="B750">
            <v>73.790000000000006</v>
          </cell>
        </row>
        <row r="751">
          <cell r="A751">
            <v>19070614</v>
          </cell>
          <cell r="B751">
            <v>132.57</v>
          </cell>
        </row>
        <row r="752">
          <cell r="A752">
            <v>29127257</v>
          </cell>
          <cell r="B752">
            <v>503.62</v>
          </cell>
        </row>
        <row r="753">
          <cell r="A753">
            <v>29127258</v>
          </cell>
          <cell r="B753">
            <v>794.7</v>
          </cell>
        </row>
        <row r="754">
          <cell r="A754">
            <v>29127250</v>
          </cell>
          <cell r="B754">
            <v>1183.94</v>
          </cell>
        </row>
        <row r="755">
          <cell r="A755">
            <v>29117888</v>
          </cell>
          <cell r="B755">
            <v>922.49</v>
          </cell>
        </row>
        <row r="756">
          <cell r="A756">
            <v>29127400</v>
          </cell>
          <cell r="B756">
            <v>1156.22</v>
          </cell>
        </row>
        <row r="757">
          <cell r="A757">
            <v>29127251</v>
          </cell>
          <cell r="B757">
            <v>1183.94</v>
          </cell>
        </row>
        <row r="758">
          <cell r="A758">
            <v>29117890</v>
          </cell>
          <cell r="B758">
            <v>922.49</v>
          </cell>
        </row>
        <row r="759">
          <cell r="A759">
            <v>29127401</v>
          </cell>
          <cell r="B759">
            <v>1156.22</v>
          </cell>
        </row>
        <row r="760">
          <cell r="A760">
            <v>18040642</v>
          </cell>
          <cell r="B760">
            <v>196.37</v>
          </cell>
        </row>
        <row r="761">
          <cell r="A761">
            <v>29127263</v>
          </cell>
          <cell r="B761">
            <v>2904.99</v>
          </cell>
        </row>
        <row r="762">
          <cell r="A762">
            <v>29127264</v>
          </cell>
          <cell r="B762">
            <v>2461.4499999999998</v>
          </cell>
        </row>
        <row r="763">
          <cell r="A763">
            <v>29127265</v>
          </cell>
          <cell r="B763">
            <v>2915.38</v>
          </cell>
        </row>
        <row r="764">
          <cell r="A764">
            <v>29127266</v>
          </cell>
          <cell r="B764">
            <v>2904.99</v>
          </cell>
        </row>
        <row r="765">
          <cell r="A765">
            <v>29127267</v>
          </cell>
          <cell r="B765">
            <v>2461.4499999999998</v>
          </cell>
        </row>
        <row r="766">
          <cell r="A766">
            <v>29127268</v>
          </cell>
          <cell r="B766">
            <v>2915.38</v>
          </cell>
        </row>
        <row r="767">
          <cell r="A767">
            <v>18040642</v>
          </cell>
          <cell r="B767">
            <v>196.37</v>
          </cell>
        </row>
        <row r="768">
          <cell r="A768">
            <v>19072184</v>
          </cell>
          <cell r="B768">
            <v>657.23</v>
          </cell>
        </row>
        <row r="769">
          <cell r="A769">
            <v>19137112</v>
          </cell>
          <cell r="B769">
            <v>509.39</v>
          </cell>
        </row>
        <row r="770">
          <cell r="A770">
            <v>19137113</v>
          </cell>
          <cell r="B770">
            <v>187.13</v>
          </cell>
        </row>
        <row r="771">
          <cell r="A771">
            <v>19137115</v>
          </cell>
          <cell r="B771">
            <v>187.13</v>
          </cell>
        </row>
        <row r="772">
          <cell r="A772">
            <v>18040343</v>
          </cell>
          <cell r="B772">
            <v>19.63</v>
          </cell>
        </row>
        <row r="773">
          <cell r="A773">
            <v>11035624</v>
          </cell>
          <cell r="B773">
            <v>19.63</v>
          </cell>
        </row>
        <row r="774">
          <cell r="A774">
            <v>18040642</v>
          </cell>
          <cell r="B774">
            <v>196.37</v>
          </cell>
        </row>
        <row r="775">
          <cell r="A775">
            <v>40981752</v>
          </cell>
          <cell r="B775">
            <v>209.19</v>
          </cell>
        </row>
        <row r="776">
          <cell r="A776">
            <v>40984251</v>
          </cell>
          <cell r="B776">
            <v>467.79</v>
          </cell>
        </row>
        <row r="777">
          <cell r="A777">
            <v>40981754</v>
          </cell>
          <cell r="B777">
            <v>440.08</v>
          </cell>
        </row>
        <row r="778">
          <cell r="A778">
            <v>19072185</v>
          </cell>
          <cell r="B778">
            <v>701.12</v>
          </cell>
        </row>
        <row r="779">
          <cell r="A779">
            <v>19072016</v>
          </cell>
          <cell r="B779">
            <v>548.66</v>
          </cell>
        </row>
        <row r="780">
          <cell r="A780">
            <v>19137113</v>
          </cell>
          <cell r="B780">
            <v>187.13</v>
          </cell>
        </row>
        <row r="781">
          <cell r="A781">
            <v>19137115</v>
          </cell>
          <cell r="B781">
            <v>187.13</v>
          </cell>
        </row>
        <row r="782">
          <cell r="A782">
            <v>19072017</v>
          </cell>
          <cell r="B782">
            <v>56.58</v>
          </cell>
        </row>
        <row r="783">
          <cell r="A783">
            <v>19072018</v>
          </cell>
          <cell r="B783">
            <v>48.51</v>
          </cell>
        </row>
        <row r="784">
          <cell r="A784">
            <v>19072019</v>
          </cell>
          <cell r="B784">
            <v>34.65</v>
          </cell>
        </row>
        <row r="785">
          <cell r="A785">
            <v>18040642</v>
          </cell>
          <cell r="B785">
            <v>196.37</v>
          </cell>
        </row>
        <row r="786">
          <cell r="A786">
            <v>29128650</v>
          </cell>
          <cell r="B786">
            <v>498.99</v>
          </cell>
        </row>
        <row r="787">
          <cell r="A787">
            <v>29128742</v>
          </cell>
          <cell r="B787">
            <v>538.27</v>
          </cell>
        </row>
        <row r="788">
          <cell r="A788">
            <v>29128653</v>
          </cell>
          <cell r="B788">
            <v>538.27</v>
          </cell>
        </row>
        <row r="789">
          <cell r="A789">
            <v>29128743</v>
          </cell>
          <cell r="B789">
            <v>575.23</v>
          </cell>
        </row>
        <row r="790">
          <cell r="A790">
            <v>29128656</v>
          </cell>
          <cell r="B790">
            <v>764.65</v>
          </cell>
        </row>
        <row r="791">
          <cell r="A791">
            <v>29128744</v>
          </cell>
          <cell r="B791">
            <v>779.67</v>
          </cell>
        </row>
        <row r="792">
          <cell r="A792">
            <v>29128659</v>
          </cell>
          <cell r="B792">
            <v>1053.4100000000001</v>
          </cell>
        </row>
        <row r="793">
          <cell r="A793">
            <v>29128745</v>
          </cell>
          <cell r="B793">
            <v>1064.98</v>
          </cell>
        </row>
        <row r="794">
          <cell r="A794">
            <v>29128746</v>
          </cell>
          <cell r="B794">
            <v>1377.99</v>
          </cell>
        </row>
        <row r="795">
          <cell r="A795">
            <v>29128663</v>
          </cell>
          <cell r="B795">
            <v>552.12</v>
          </cell>
        </row>
        <row r="796">
          <cell r="A796">
            <v>29128747</v>
          </cell>
          <cell r="B796">
            <v>591.39</v>
          </cell>
        </row>
        <row r="797">
          <cell r="A797">
            <v>29128666</v>
          </cell>
          <cell r="B797">
            <v>591.39</v>
          </cell>
        </row>
        <row r="798">
          <cell r="A798">
            <v>29128748</v>
          </cell>
          <cell r="B798">
            <v>628.35</v>
          </cell>
        </row>
        <row r="799">
          <cell r="A799">
            <v>29128669</v>
          </cell>
          <cell r="B799">
            <v>817.79</v>
          </cell>
        </row>
        <row r="800">
          <cell r="A800">
            <v>29128749</v>
          </cell>
          <cell r="B800">
            <v>832.8</v>
          </cell>
        </row>
        <row r="801">
          <cell r="A801">
            <v>29128672</v>
          </cell>
          <cell r="B801">
            <v>1106.56</v>
          </cell>
        </row>
        <row r="802">
          <cell r="A802">
            <v>29128750</v>
          </cell>
          <cell r="B802">
            <v>1118.0999999999999</v>
          </cell>
        </row>
        <row r="803">
          <cell r="A803">
            <v>29128751</v>
          </cell>
          <cell r="B803">
            <v>1431.12</v>
          </cell>
        </row>
        <row r="804">
          <cell r="A804">
            <v>29128676</v>
          </cell>
          <cell r="B804">
            <v>548.66</v>
          </cell>
        </row>
        <row r="805">
          <cell r="A805">
            <v>29128752</v>
          </cell>
          <cell r="B805">
            <v>624.9</v>
          </cell>
        </row>
        <row r="806">
          <cell r="A806">
            <v>29128679</v>
          </cell>
          <cell r="B806">
            <v>974.86</v>
          </cell>
        </row>
        <row r="807">
          <cell r="A807">
            <v>29128753</v>
          </cell>
          <cell r="B807">
            <v>965.64</v>
          </cell>
        </row>
        <row r="808">
          <cell r="A808">
            <v>29128754</v>
          </cell>
          <cell r="B808">
            <v>1644.81</v>
          </cell>
        </row>
        <row r="809">
          <cell r="A809">
            <v>29117806</v>
          </cell>
          <cell r="B809">
            <v>2183.08</v>
          </cell>
        </row>
        <row r="810">
          <cell r="A810">
            <v>29117804</v>
          </cell>
          <cell r="B810">
            <v>2354.0300000000002</v>
          </cell>
        </row>
        <row r="811">
          <cell r="A811">
            <v>29127866</v>
          </cell>
          <cell r="B811">
            <v>2307.83</v>
          </cell>
        </row>
        <row r="812">
          <cell r="A812">
            <v>29127867</v>
          </cell>
          <cell r="B812">
            <v>2478.77</v>
          </cell>
        </row>
        <row r="813">
          <cell r="A813">
            <v>29127658</v>
          </cell>
          <cell r="B813">
            <v>3041.3</v>
          </cell>
        </row>
        <row r="814">
          <cell r="A814">
            <v>29127659</v>
          </cell>
          <cell r="B814">
            <v>3243.42</v>
          </cell>
        </row>
        <row r="815">
          <cell r="A815">
            <v>29127664</v>
          </cell>
          <cell r="B815">
            <v>5015.29</v>
          </cell>
        </row>
        <row r="816">
          <cell r="A816">
            <v>29127877</v>
          </cell>
          <cell r="B816">
            <v>5424.19</v>
          </cell>
        </row>
        <row r="817">
          <cell r="A817">
            <v>29127868</v>
          </cell>
          <cell r="B817">
            <v>5140.05</v>
          </cell>
        </row>
        <row r="818">
          <cell r="A818">
            <v>29127922</v>
          </cell>
          <cell r="B818">
            <v>5548.94</v>
          </cell>
        </row>
        <row r="819">
          <cell r="A819">
            <v>29127920</v>
          </cell>
          <cell r="B819">
            <v>7220.31</v>
          </cell>
        </row>
        <row r="820">
          <cell r="A820">
            <v>29127665</v>
          </cell>
          <cell r="B820">
            <v>7416.67</v>
          </cell>
        </row>
        <row r="821">
          <cell r="A821">
            <v>29127869</v>
          </cell>
          <cell r="B821">
            <v>7541.42</v>
          </cell>
        </row>
        <row r="822">
          <cell r="A822">
            <v>29127879</v>
          </cell>
          <cell r="B822">
            <v>2183.08</v>
          </cell>
        </row>
        <row r="823">
          <cell r="A823">
            <v>29127878</v>
          </cell>
          <cell r="B823">
            <v>2354.0300000000002</v>
          </cell>
        </row>
        <row r="824">
          <cell r="A824">
            <v>29127923</v>
          </cell>
          <cell r="B824">
            <v>2307.83</v>
          </cell>
        </row>
        <row r="825">
          <cell r="A825">
            <v>29127924</v>
          </cell>
          <cell r="B825">
            <v>2478.77</v>
          </cell>
        </row>
        <row r="826">
          <cell r="A826">
            <v>29127881</v>
          </cell>
          <cell r="B826">
            <v>3041.3</v>
          </cell>
        </row>
        <row r="827">
          <cell r="A827">
            <v>29127880</v>
          </cell>
          <cell r="B827">
            <v>3243.42</v>
          </cell>
        </row>
        <row r="828">
          <cell r="A828">
            <v>29127657</v>
          </cell>
          <cell r="B828">
            <v>3980.35</v>
          </cell>
        </row>
        <row r="829">
          <cell r="A829">
            <v>29127656</v>
          </cell>
          <cell r="B829">
            <v>4109.7299999999996</v>
          </cell>
        </row>
        <row r="830">
          <cell r="A830">
            <v>29127667</v>
          </cell>
          <cell r="B830">
            <v>8805.07</v>
          </cell>
        </row>
        <row r="831">
          <cell r="A831">
            <v>29127865</v>
          </cell>
          <cell r="B831">
            <v>10082.57</v>
          </cell>
        </row>
        <row r="832">
          <cell r="A832">
            <v>29127693</v>
          </cell>
          <cell r="B832">
            <v>2859.95</v>
          </cell>
        </row>
        <row r="833">
          <cell r="A833">
            <v>29127771</v>
          </cell>
          <cell r="B833">
            <v>3093.27</v>
          </cell>
        </row>
        <row r="834">
          <cell r="A834">
            <v>29127670</v>
          </cell>
          <cell r="B834">
            <v>3559.91</v>
          </cell>
        </row>
        <row r="835">
          <cell r="A835">
            <v>29127680</v>
          </cell>
          <cell r="B835">
            <v>4664.1499999999996</v>
          </cell>
        </row>
        <row r="836">
          <cell r="A836">
            <v>29127701</v>
          </cell>
          <cell r="B836">
            <v>6757.14</v>
          </cell>
        </row>
        <row r="837">
          <cell r="A837">
            <v>29127694</v>
          </cell>
          <cell r="B837">
            <v>5484.26</v>
          </cell>
        </row>
        <row r="838">
          <cell r="A838">
            <v>29127696</v>
          </cell>
          <cell r="B838">
            <v>7878.71</v>
          </cell>
        </row>
        <row r="839">
          <cell r="A839">
            <v>29127713</v>
          </cell>
          <cell r="B839">
            <v>9954.36</v>
          </cell>
        </row>
        <row r="840">
          <cell r="A840">
            <v>29127772</v>
          </cell>
          <cell r="B840">
            <v>7241.11</v>
          </cell>
        </row>
        <row r="841">
          <cell r="A841">
            <v>29127763</v>
          </cell>
          <cell r="B841">
            <v>5968.23</v>
          </cell>
        </row>
        <row r="842">
          <cell r="A842">
            <v>29127764</v>
          </cell>
          <cell r="B842">
            <v>8083.15</v>
          </cell>
        </row>
        <row r="843">
          <cell r="A843">
            <v>29127783</v>
          </cell>
          <cell r="B843">
            <v>10548.07</v>
          </cell>
        </row>
        <row r="844">
          <cell r="A844">
            <v>29127673</v>
          </cell>
          <cell r="B844">
            <v>7274.6</v>
          </cell>
        </row>
        <row r="845">
          <cell r="A845">
            <v>29127672</v>
          </cell>
          <cell r="B845">
            <v>6001.72</v>
          </cell>
        </row>
        <row r="846">
          <cell r="A846">
            <v>29127690</v>
          </cell>
          <cell r="B846">
            <v>8006.92</v>
          </cell>
        </row>
        <row r="847">
          <cell r="A847">
            <v>29127710</v>
          </cell>
          <cell r="B847">
            <v>10263.92</v>
          </cell>
        </row>
        <row r="848">
          <cell r="A848">
            <v>29127683</v>
          </cell>
          <cell r="B848">
            <v>8726.5400000000009</v>
          </cell>
        </row>
        <row r="849">
          <cell r="A849">
            <v>29127682</v>
          </cell>
          <cell r="B849">
            <v>7453.64</v>
          </cell>
        </row>
        <row r="850">
          <cell r="A850">
            <v>29127760</v>
          </cell>
          <cell r="B850">
            <v>9891.98</v>
          </cell>
        </row>
        <row r="851">
          <cell r="A851">
            <v>29127780</v>
          </cell>
          <cell r="B851">
            <v>11983.82</v>
          </cell>
        </row>
        <row r="852">
          <cell r="A852">
            <v>29127841</v>
          </cell>
          <cell r="B852">
            <v>8308.3799999999992</v>
          </cell>
        </row>
        <row r="853">
          <cell r="A853">
            <v>29127842</v>
          </cell>
          <cell r="B853">
            <v>9778.7999999999993</v>
          </cell>
        </row>
        <row r="854">
          <cell r="A854">
            <v>29127843</v>
          </cell>
          <cell r="B854">
            <v>9635.57</v>
          </cell>
        </row>
        <row r="855">
          <cell r="A855">
            <v>29127844</v>
          </cell>
          <cell r="B855">
            <v>10976.6</v>
          </cell>
        </row>
        <row r="856">
          <cell r="A856">
            <v>29127935</v>
          </cell>
          <cell r="B856">
            <v>13293.65</v>
          </cell>
        </row>
        <row r="857">
          <cell r="A857">
            <v>29127937</v>
          </cell>
          <cell r="B857">
            <v>14816.04</v>
          </cell>
        </row>
        <row r="858">
          <cell r="A858">
            <v>29127824</v>
          </cell>
          <cell r="B858">
            <v>14415.21</v>
          </cell>
        </row>
        <row r="859">
          <cell r="A859">
            <v>29127826</v>
          </cell>
          <cell r="B859">
            <v>16191.72</v>
          </cell>
        </row>
        <row r="860">
          <cell r="A860">
            <v>29127800</v>
          </cell>
          <cell r="B860">
            <v>18856.439999999999</v>
          </cell>
        </row>
        <row r="861">
          <cell r="A861">
            <v>29127802</v>
          </cell>
          <cell r="B861">
            <v>20754.23</v>
          </cell>
        </row>
        <row r="862">
          <cell r="A862">
            <v>29127808</v>
          </cell>
          <cell r="B862">
            <v>19418.96</v>
          </cell>
        </row>
        <row r="863">
          <cell r="A863">
            <v>29127810</v>
          </cell>
          <cell r="B863">
            <v>21316.75</v>
          </cell>
        </row>
        <row r="864">
          <cell r="A864">
            <v>29127845</v>
          </cell>
          <cell r="B864">
            <v>12860.52</v>
          </cell>
        </row>
        <row r="865">
          <cell r="A865">
            <v>29127846</v>
          </cell>
          <cell r="B865">
            <v>14256.98</v>
          </cell>
        </row>
        <row r="866">
          <cell r="A866">
            <v>29127847</v>
          </cell>
          <cell r="B866">
            <v>14826.44</v>
          </cell>
        </row>
        <row r="867">
          <cell r="A867">
            <v>29127848</v>
          </cell>
          <cell r="B867">
            <v>16220.61</v>
          </cell>
        </row>
        <row r="868">
          <cell r="A868">
            <v>29127936</v>
          </cell>
          <cell r="B868">
            <v>19290.759999999998</v>
          </cell>
        </row>
        <row r="869">
          <cell r="A869">
            <v>29127938</v>
          </cell>
          <cell r="B869">
            <v>20686.080000000002</v>
          </cell>
        </row>
        <row r="870">
          <cell r="A870">
            <v>29127825</v>
          </cell>
          <cell r="B870">
            <v>19324.259999999998</v>
          </cell>
        </row>
        <row r="871">
          <cell r="A871">
            <v>29127827</v>
          </cell>
          <cell r="B871">
            <v>20719.580000000002</v>
          </cell>
        </row>
        <row r="872">
          <cell r="A872">
            <v>29127801</v>
          </cell>
          <cell r="B872">
            <v>21477.29</v>
          </cell>
        </row>
        <row r="873">
          <cell r="A873">
            <v>29127803</v>
          </cell>
          <cell r="B873">
            <v>22872.62</v>
          </cell>
        </row>
        <row r="874">
          <cell r="A874">
            <v>29127809</v>
          </cell>
          <cell r="B874">
            <v>22023.64</v>
          </cell>
        </row>
        <row r="875">
          <cell r="A875">
            <v>29127811</v>
          </cell>
          <cell r="B875">
            <v>23418.97</v>
          </cell>
        </row>
        <row r="876">
          <cell r="A876">
            <v>29127113</v>
          </cell>
          <cell r="B876">
            <v>2819.53</v>
          </cell>
        </row>
        <row r="877">
          <cell r="A877">
            <v>29127114</v>
          </cell>
          <cell r="B877">
            <v>2888.82</v>
          </cell>
        </row>
        <row r="878">
          <cell r="A878">
            <v>29127115</v>
          </cell>
          <cell r="B878">
            <v>3077.09</v>
          </cell>
        </row>
        <row r="879">
          <cell r="A879">
            <v>29127116</v>
          </cell>
          <cell r="B879">
            <v>3077.09</v>
          </cell>
        </row>
        <row r="880">
          <cell r="A880">
            <v>29127117</v>
          </cell>
          <cell r="B880">
            <v>3544.9</v>
          </cell>
        </row>
        <row r="881">
          <cell r="A881">
            <v>29127118</v>
          </cell>
          <cell r="B881">
            <v>3608.42</v>
          </cell>
        </row>
        <row r="882">
          <cell r="A882">
            <v>29127119</v>
          </cell>
          <cell r="B882">
            <v>3608.42</v>
          </cell>
        </row>
        <row r="883">
          <cell r="A883">
            <v>29127158</v>
          </cell>
          <cell r="B883">
            <v>3721.63</v>
          </cell>
        </row>
        <row r="884">
          <cell r="A884">
            <v>29127135</v>
          </cell>
          <cell r="B884">
            <v>4496.68</v>
          </cell>
        </row>
        <row r="885">
          <cell r="A885">
            <v>29127136</v>
          </cell>
          <cell r="B885">
            <v>4635.28</v>
          </cell>
        </row>
        <row r="886">
          <cell r="A886">
            <v>29127137</v>
          </cell>
          <cell r="B886">
            <v>5012.99</v>
          </cell>
        </row>
        <row r="887">
          <cell r="A887">
            <v>29127138</v>
          </cell>
          <cell r="B887">
            <v>5012.99</v>
          </cell>
        </row>
        <row r="888">
          <cell r="A888">
            <v>29127139</v>
          </cell>
          <cell r="B888">
            <v>5948.59</v>
          </cell>
        </row>
        <row r="889">
          <cell r="A889">
            <v>29127140</v>
          </cell>
          <cell r="B889">
            <v>6075.67</v>
          </cell>
        </row>
        <row r="890">
          <cell r="A890">
            <v>29127141</v>
          </cell>
          <cell r="B890">
            <v>6075.67</v>
          </cell>
        </row>
        <row r="891">
          <cell r="A891">
            <v>29127159</v>
          </cell>
          <cell r="B891">
            <v>6300.88</v>
          </cell>
        </row>
        <row r="892">
          <cell r="A892">
            <v>29127142</v>
          </cell>
          <cell r="B892">
            <v>2841.47</v>
          </cell>
        </row>
        <row r="893">
          <cell r="A893">
            <v>29127143</v>
          </cell>
          <cell r="B893">
            <v>2910.77</v>
          </cell>
        </row>
        <row r="894">
          <cell r="A894">
            <v>29127144</v>
          </cell>
          <cell r="B894">
            <v>3099.05</v>
          </cell>
        </row>
        <row r="895">
          <cell r="A895">
            <v>29127145</v>
          </cell>
          <cell r="B895">
            <v>3204.15</v>
          </cell>
        </row>
        <row r="896">
          <cell r="A896">
            <v>29127146</v>
          </cell>
          <cell r="B896">
            <v>3566.84</v>
          </cell>
        </row>
        <row r="897">
          <cell r="A897">
            <v>29127147</v>
          </cell>
          <cell r="B897">
            <v>3630.39</v>
          </cell>
        </row>
        <row r="898">
          <cell r="A898">
            <v>29127148</v>
          </cell>
          <cell r="B898">
            <v>3714.7</v>
          </cell>
        </row>
        <row r="899">
          <cell r="A899">
            <v>29127149</v>
          </cell>
          <cell r="B899">
            <v>3599.19</v>
          </cell>
        </row>
        <row r="900">
          <cell r="A900">
            <v>29127150</v>
          </cell>
          <cell r="B900">
            <v>4717.29</v>
          </cell>
        </row>
        <row r="901">
          <cell r="A901">
            <v>29127151</v>
          </cell>
          <cell r="B901">
            <v>4857.04</v>
          </cell>
        </row>
        <row r="902">
          <cell r="A902">
            <v>29127152</v>
          </cell>
          <cell r="B902">
            <v>5233.6000000000004</v>
          </cell>
        </row>
        <row r="903">
          <cell r="A903">
            <v>29127153</v>
          </cell>
          <cell r="B903">
            <v>5442.67</v>
          </cell>
        </row>
        <row r="904">
          <cell r="A904">
            <v>29127154</v>
          </cell>
          <cell r="B904">
            <v>6169.21</v>
          </cell>
        </row>
        <row r="905">
          <cell r="A905">
            <v>29127155</v>
          </cell>
          <cell r="B905">
            <v>6297.43</v>
          </cell>
        </row>
        <row r="906">
          <cell r="A906">
            <v>29127156</v>
          </cell>
          <cell r="B906">
            <v>6464.9</v>
          </cell>
        </row>
        <row r="907">
          <cell r="A907">
            <v>29127157</v>
          </cell>
          <cell r="B907">
            <v>6233.89</v>
          </cell>
        </row>
        <row r="908">
          <cell r="A908">
            <v>19071805</v>
          </cell>
          <cell r="B908">
            <v>91.25</v>
          </cell>
        </row>
        <row r="909">
          <cell r="A909">
            <v>19071804</v>
          </cell>
          <cell r="B909">
            <v>115.51</v>
          </cell>
        </row>
        <row r="910">
          <cell r="A910">
            <v>19071713</v>
          </cell>
          <cell r="B910">
            <v>170.96</v>
          </cell>
        </row>
        <row r="911">
          <cell r="A911">
            <v>19071711</v>
          </cell>
          <cell r="B911">
            <v>334.97</v>
          </cell>
        </row>
        <row r="912">
          <cell r="A912">
            <v>19141820</v>
          </cell>
          <cell r="B912">
            <v>53.15</v>
          </cell>
        </row>
        <row r="913">
          <cell r="A913">
            <v>1056145</v>
          </cell>
          <cell r="B913">
            <v>43.91</v>
          </cell>
        </row>
        <row r="914">
          <cell r="A914">
            <v>11037341</v>
          </cell>
          <cell r="B914">
            <v>57.75</v>
          </cell>
        </row>
        <row r="915">
          <cell r="A915">
            <v>11037342</v>
          </cell>
          <cell r="B915">
            <v>64.69</v>
          </cell>
        </row>
        <row r="916">
          <cell r="A916">
            <v>11037343</v>
          </cell>
          <cell r="B916">
            <v>76.23</v>
          </cell>
        </row>
        <row r="917">
          <cell r="A917">
            <v>29128401</v>
          </cell>
          <cell r="B917">
            <v>66.739999999999995</v>
          </cell>
        </row>
        <row r="918">
          <cell r="A918">
            <v>29128422</v>
          </cell>
          <cell r="B918">
            <v>191.74</v>
          </cell>
        </row>
        <row r="919">
          <cell r="A919">
            <v>29128442</v>
          </cell>
          <cell r="B919">
            <v>338.44</v>
          </cell>
        </row>
        <row r="920">
          <cell r="A920">
            <v>530561</v>
          </cell>
          <cell r="B920">
            <v>524.39</v>
          </cell>
        </row>
        <row r="921">
          <cell r="A921">
            <v>1056355</v>
          </cell>
          <cell r="B921">
            <v>143.22</v>
          </cell>
        </row>
        <row r="922">
          <cell r="A922">
            <v>1086547</v>
          </cell>
          <cell r="B922">
            <v>55.45</v>
          </cell>
        </row>
        <row r="923">
          <cell r="A923">
            <v>29130980</v>
          </cell>
          <cell r="B923">
            <v>4098.8100000000004</v>
          </cell>
        </row>
        <row r="924">
          <cell r="A924">
            <v>29130982</v>
          </cell>
          <cell r="B924">
            <v>4133.57</v>
          </cell>
        </row>
        <row r="925">
          <cell r="A925">
            <v>29130984</v>
          </cell>
          <cell r="B925">
            <v>4226.6400000000003</v>
          </cell>
        </row>
        <row r="926">
          <cell r="A926">
            <v>29130986</v>
          </cell>
          <cell r="B926">
            <v>4264.78</v>
          </cell>
        </row>
        <row r="927">
          <cell r="A927">
            <v>29130988</v>
          </cell>
          <cell r="B927">
            <v>4325.33</v>
          </cell>
        </row>
        <row r="928">
          <cell r="A928">
            <v>29130981</v>
          </cell>
          <cell r="B928">
            <v>6615.28</v>
          </cell>
        </row>
        <row r="929">
          <cell r="A929">
            <v>29130983</v>
          </cell>
          <cell r="B929">
            <v>6684.81</v>
          </cell>
        </row>
        <row r="930">
          <cell r="A930">
            <v>29130985</v>
          </cell>
          <cell r="B930">
            <v>6873.21</v>
          </cell>
        </row>
        <row r="931">
          <cell r="A931">
            <v>29130987</v>
          </cell>
          <cell r="B931">
            <v>7054.89</v>
          </cell>
        </row>
        <row r="932">
          <cell r="A932">
            <v>29130989</v>
          </cell>
          <cell r="B932">
            <v>7401.39</v>
          </cell>
        </row>
        <row r="933">
          <cell r="A933">
            <v>19071423</v>
          </cell>
          <cell r="B933">
            <v>133.99</v>
          </cell>
        </row>
        <row r="934">
          <cell r="A934">
            <v>39022252</v>
          </cell>
          <cell r="B934">
            <v>69.3</v>
          </cell>
        </row>
        <row r="935">
          <cell r="A935">
            <v>39022248</v>
          </cell>
          <cell r="B935">
            <v>38.130000000000003</v>
          </cell>
        </row>
        <row r="936">
          <cell r="A936">
            <v>39021016</v>
          </cell>
          <cell r="B936">
            <v>38.130000000000003</v>
          </cell>
        </row>
        <row r="937">
          <cell r="A937">
            <v>19141819</v>
          </cell>
          <cell r="B937">
            <v>24.26</v>
          </cell>
        </row>
        <row r="938">
          <cell r="A938">
            <v>19141820</v>
          </cell>
          <cell r="B938">
            <v>53.15</v>
          </cell>
        </row>
        <row r="939">
          <cell r="A939">
            <v>19143335</v>
          </cell>
          <cell r="B939">
            <v>110.89</v>
          </cell>
        </row>
        <row r="940">
          <cell r="A940">
            <v>19143336</v>
          </cell>
          <cell r="B940">
            <v>278.02</v>
          </cell>
        </row>
        <row r="941">
          <cell r="A941">
            <v>39021975</v>
          </cell>
          <cell r="B941">
            <v>57.75</v>
          </cell>
        </row>
        <row r="942">
          <cell r="A942">
            <v>1118726</v>
          </cell>
          <cell r="B942">
            <v>998.52</v>
          </cell>
        </row>
        <row r="943">
          <cell r="A943">
            <v>1118728</v>
          </cell>
          <cell r="B943">
            <v>1323.4</v>
          </cell>
        </row>
        <row r="944">
          <cell r="A944">
            <v>1119203</v>
          </cell>
          <cell r="B944">
            <v>1352.25</v>
          </cell>
        </row>
        <row r="945">
          <cell r="A945">
            <v>1119205</v>
          </cell>
          <cell r="B945">
            <v>1569.96</v>
          </cell>
        </row>
        <row r="946">
          <cell r="A946">
            <v>19071911</v>
          </cell>
          <cell r="B946">
            <v>407.75</v>
          </cell>
        </row>
        <row r="947">
          <cell r="A947">
            <v>19071440</v>
          </cell>
          <cell r="B947">
            <v>1098.47</v>
          </cell>
        </row>
        <row r="948">
          <cell r="A948">
            <v>19071721</v>
          </cell>
          <cell r="B948">
            <v>84.33</v>
          </cell>
        </row>
        <row r="949">
          <cell r="A949">
            <v>19071837</v>
          </cell>
          <cell r="B949">
            <v>118.98</v>
          </cell>
        </row>
        <row r="950">
          <cell r="A950">
            <v>19071722</v>
          </cell>
          <cell r="B950">
            <v>266.83</v>
          </cell>
        </row>
        <row r="951">
          <cell r="A951">
            <v>1118748</v>
          </cell>
          <cell r="B951">
            <v>42.64</v>
          </cell>
        </row>
        <row r="952">
          <cell r="A952">
            <v>1118747</v>
          </cell>
          <cell r="B952">
            <v>309.85000000000002</v>
          </cell>
        </row>
        <row r="953">
          <cell r="A953">
            <v>1118746</v>
          </cell>
          <cell r="B953">
            <v>203.66</v>
          </cell>
        </row>
        <row r="954">
          <cell r="A954">
            <v>1111935</v>
          </cell>
          <cell r="B954">
            <v>73.790000000000006</v>
          </cell>
        </row>
        <row r="955">
          <cell r="A955">
            <v>19070614</v>
          </cell>
          <cell r="B955">
            <v>132.57</v>
          </cell>
        </row>
        <row r="956">
          <cell r="A956">
            <v>19071805</v>
          </cell>
          <cell r="B956">
            <v>91.25</v>
          </cell>
        </row>
        <row r="957">
          <cell r="A957">
            <v>19071804</v>
          </cell>
          <cell r="B957">
            <v>115.51</v>
          </cell>
        </row>
        <row r="958">
          <cell r="A958">
            <v>19071713</v>
          </cell>
          <cell r="B958">
            <v>170.96</v>
          </cell>
        </row>
        <row r="959">
          <cell r="A959">
            <v>19071711</v>
          </cell>
          <cell r="B959">
            <v>334.97</v>
          </cell>
        </row>
        <row r="960">
          <cell r="A960">
            <v>1056145</v>
          </cell>
          <cell r="B960">
            <v>43.91</v>
          </cell>
        </row>
        <row r="961">
          <cell r="A961">
            <v>11037341</v>
          </cell>
          <cell r="B961">
            <v>57.75</v>
          </cell>
        </row>
        <row r="962">
          <cell r="A962">
            <v>11037342</v>
          </cell>
          <cell r="B962">
            <v>64.69</v>
          </cell>
        </row>
        <row r="963">
          <cell r="A963">
            <v>11037343</v>
          </cell>
          <cell r="B963">
            <v>76.23</v>
          </cell>
        </row>
        <row r="964">
          <cell r="A964">
            <v>29128401</v>
          </cell>
          <cell r="B964">
            <v>66.739999999999995</v>
          </cell>
        </row>
        <row r="965">
          <cell r="A965">
            <v>29128422</v>
          </cell>
          <cell r="B965">
            <v>191.74</v>
          </cell>
        </row>
        <row r="966">
          <cell r="A966">
            <v>29128442</v>
          </cell>
          <cell r="B966">
            <v>338.44</v>
          </cell>
        </row>
        <row r="967">
          <cell r="A967">
            <v>530561</v>
          </cell>
          <cell r="B967">
            <v>524.39</v>
          </cell>
        </row>
        <row r="968">
          <cell r="A968">
            <v>1056355</v>
          </cell>
          <cell r="B968">
            <v>143.22</v>
          </cell>
        </row>
        <row r="969">
          <cell r="A969">
            <v>1086547</v>
          </cell>
          <cell r="B969">
            <v>55.45</v>
          </cell>
        </row>
        <row r="970">
          <cell r="A970">
            <v>19071721</v>
          </cell>
          <cell r="B970">
            <v>84.33</v>
          </cell>
        </row>
        <row r="971">
          <cell r="A971">
            <v>19071837</v>
          </cell>
          <cell r="B971">
            <v>118.98</v>
          </cell>
        </row>
        <row r="972">
          <cell r="A972">
            <v>19071722</v>
          </cell>
          <cell r="B972">
            <v>266.83</v>
          </cell>
        </row>
        <row r="973">
          <cell r="A973">
            <v>39100018</v>
          </cell>
          <cell r="B973">
            <v>1478.48</v>
          </cell>
        </row>
        <row r="974">
          <cell r="A974">
            <v>39100020</v>
          </cell>
          <cell r="B974">
            <v>1513.13</v>
          </cell>
        </row>
        <row r="975">
          <cell r="A975">
            <v>39100022</v>
          </cell>
          <cell r="B975">
            <v>1547.79</v>
          </cell>
        </row>
        <row r="976">
          <cell r="A976">
            <v>39100042</v>
          </cell>
          <cell r="B976">
            <v>1594</v>
          </cell>
        </row>
        <row r="977">
          <cell r="A977">
            <v>39100044</v>
          </cell>
          <cell r="B977">
            <v>1767.26</v>
          </cell>
        </row>
        <row r="978">
          <cell r="A978">
            <v>39100046</v>
          </cell>
          <cell r="B978">
            <v>1963.61</v>
          </cell>
        </row>
        <row r="979">
          <cell r="A979">
            <v>39100048</v>
          </cell>
          <cell r="B979">
            <v>2021.37</v>
          </cell>
        </row>
        <row r="980">
          <cell r="A980">
            <v>39100050</v>
          </cell>
          <cell r="B980">
            <v>2079.12</v>
          </cell>
        </row>
        <row r="981">
          <cell r="A981">
            <v>39100052</v>
          </cell>
          <cell r="B981">
            <v>2194.63</v>
          </cell>
        </row>
        <row r="982">
          <cell r="A982">
            <v>39100054</v>
          </cell>
          <cell r="B982">
            <v>2252.38</v>
          </cell>
        </row>
        <row r="983">
          <cell r="A983">
            <v>39100068</v>
          </cell>
          <cell r="B983">
            <v>2367.88</v>
          </cell>
        </row>
        <row r="984">
          <cell r="A984">
            <v>39100070</v>
          </cell>
          <cell r="B984">
            <v>2425.65</v>
          </cell>
        </row>
        <row r="985">
          <cell r="A985">
            <v>39100072</v>
          </cell>
          <cell r="B985">
            <v>2598.9</v>
          </cell>
        </row>
        <row r="986">
          <cell r="A986">
            <v>39100074</v>
          </cell>
          <cell r="B986">
            <v>2656.65</v>
          </cell>
        </row>
        <row r="987">
          <cell r="A987">
            <v>39100076</v>
          </cell>
          <cell r="B987">
            <v>2714.39</v>
          </cell>
        </row>
        <row r="988">
          <cell r="A988">
            <v>39100078</v>
          </cell>
          <cell r="B988">
            <v>2772.16</v>
          </cell>
        </row>
        <row r="989">
          <cell r="A989">
            <v>39100124</v>
          </cell>
          <cell r="B989">
            <v>2659.46</v>
          </cell>
        </row>
        <row r="990">
          <cell r="A990">
            <v>39100138</v>
          </cell>
          <cell r="B990">
            <v>2714.39</v>
          </cell>
        </row>
        <row r="991">
          <cell r="A991">
            <v>39100140</v>
          </cell>
          <cell r="B991">
            <v>2829.91</v>
          </cell>
        </row>
        <row r="992">
          <cell r="A992">
            <v>39100130</v>
          </cell>
          <cell r="B992">
            <v>2945.43</v>
          </cell>
        </row>
        <row r="993">
          <cell r="A993">
            <v>39100132</v>
          </cell>
          <cell r="B993">
            <v>3060.93</v>
          </cell>
        </row>
        <row r="994">
          <cell r="A994">
            <v>39100134</v>
          </cell>
          <cell r="B994">
            <v>3176.44</v>
          </cell>
        </row>
        <row r="995">
          <cell r="A995">
            <v>39100136</v>
          </cell>
          <cell r="B995">
            <v>3291.94</v>
          </cell>
        </row>
        <row r="996">
          <cell r="A996">
            <v>39100146</v>
          </cell>
          <cell r="B996">
            <v>2774.96</v>
          </cell>
        </row>
        <row r="997">
          <cell r="A997">
            <v>39100160</v>
          </cell>
          <cell r="B997">
            <v>2830.02</v>
          </cell>
        </row>
        <row r="998">
          <cell r="A998">
            <v>39100150</v>
          </cell>
          <cell r="B998">
            <v>2945.43</v>
          </cell>
        </row>
        <row r="999">
          <cell r="A999">
            <v>39100152</v>
          </cell>
          <cell r="B999">
            <v>3060.93</v>
          </cell>
        </row>
        <row r="1000">
          <cell r="A1000">
            <v>39100154</v>
          </cell>
          <cell r="B1000">
            <v>3176.44</v>
          </cell>
        </row>
        <row r="1001">
          <cell r="A1001">
            <v>39100156</v>
          </cell>
          <cell r="B1001">
            <v>3291.94</v>
          </cell>
        </row>
        <row r="1002">
          <cell r="A1002">
            <v>39100158</v>
          </cell>
          <cell r="B1002">
            <v>3407.44</v>
          </cell>
        </row>
        <row r="1003">
          <cell r="A1003">
            <v>39100346</v>
          </cell>
          <cell r="B1003">
            <v>3198.2</v>
          </cell>
        </row>
        <row r="1004">
          <cell r="A1004">
            <v>39100348</v>
          </cell>
          <cell r="B1004">
            <v>3198.2</v>
          </cell>
        </row>
        <row r="1005">
          <cell r="A1005">
            <v>39100350</v>
          </cell>
          <cell r="B1005">
            <v>3731.86</v>
          </cell>
        </row>
        <row r="1006">
          <cell r="A1006">
            <v>39100352</v>
          </cell>
          <cell r="B1006">
            <v>3731.86</v>
          </cell>
        </row>
        <row r="1007">
          <cell r="A1007">
            <v>39100367</v>
          </cell>
          <cell r="B1007">
            <v>3848.72</v>
          </cell>
        </row>
        <row r="1008">
          <cell r="A1008">
            <v>39100369</v>
          </cell>
          <cell r="B1008">
            <v>3956.37</v>
          </cell>
        </row>
        <row r="1009">
          <cell r="A1009">
            <v>39100371</v>
          </cell>
          <cell r="B1009">
            <v>3956.37</v>
          </cell>
        </row>
        <row r="1010">
          <cell r="A1010">
            <v>1118726</v>
          </cell>
          <cell r="B1010">
            <v>998.52</v>
          </cell>
        </row>
        <row r="1011">
          <cell r="A1011">
            <v>1118727</v>
          </cell>
          <cell r="B1011">
            <v>998.52</v>
          </cell>
        </row>
        <row r="1012">
          <cell r="A1012">
            <v>1118728</v>
          </cell>
          <cell r="B1012">
            <v>1323.4</v>
          </cell>
        </row>
        <row r="1013">
          <cell r="A1013">
            <v>1118729</v>
          </cell>
          <cell r="B1013">
            <v>1323.4</v>
          </cell>
        </row>
        <row r="1014">
          <cell r="A1014">
            <v>1119203</v>
          </cell>
          <cell r="B1014">
            <v>1352.25</v>
          </cell>
        </row>
        <row r="1015">
          <cell r="A1015">
            <v>1119204</v>
          </cell>
          <cell r="B1015">
            <v>1352.25</v>
          </cell>
        </row>
        <row r="1016">
          <cell r="A1016">
            <v>1119208</v>
          </cell>
          <cell r="B1016">
            <v>1629.39</v>
          </cell>
        </row>
        <row r="1017">
          <cell r="A1017">
            <v>1119209</v>
          </cell>
          <cell r="B1017">
            <v>1629.39</v>
          </cell>
        </row>
        <row r="1018">
          <cell r="A1018">
            <v>1119210</v>
          </cell>
          <cell r="B1018">
            <v>1629.55</v>
          </cell>
        </row>
        <row r="1019">
          <cell r="A1019">
            <v>1119211</v>
          </cell>
          <cell r="B1019">
            <v>1629.55</v>
          </cell>
        </row>
        <row r="1020">
          <cell r="A1020">
            <v>1119212</v>
          </cell>
          <cell r="B1020">
            <v>1788.33</v>
          </cell>
        </row>
        <row r="1021">
          <cell r="A1021">
            <v>1119213</v>
          </cell>
          <cell r="B1021">
            <v>1788.33</v>
          </cell>
        </row>
        <row r="1022">
          <cell r="A1022">
            <v>1119215</v>
          </cell>
          <cell r="B1022">
            <v>1905.9</v>
          </cell>
        </row>
        <row r="1023">
          <cell r="A1023">
            <v>1119216</v>
          </cell>
          <cell r="B1023">
            <v>1905.9</v>
          </cell>
        </row>
        <row r="1024">
          <cell r="A1024">
            <v>1119205</v>
          </cell>
          <cell r="B1024">
            <v>1569.96</v>
          </cell>
        </row>
        <row r="1025">
          <cell r="A1025">
            <v>1119206</v>
          </cell>
          <cell r="B1025">
            <v>1569.96</v>
          </cell>
        </row>
        <row r="1026">
          <cell r="A1026">
            <v>1119218</v>
          </cell>
          <cell r="B1026">
            <v>2073.88</v>
          </cell>
        </row>
        <row r="1027">
          <cell r="A1027">
            <v>1119219</v>
          </cell>
          <cell r="B1027">
            <v>2073.88</v>
          </cell>
        </row>
        <row r="1028">
          <cell r="A1028">
            <v>1119220</v>
          </cell>
          <cell r="B1028">
            <v>2225.0500000000002</v>
          </cell>
        </row>
        <row r="1029">
          <cell r="A1029">
            <v>1119221</v>
          </cell>
          <cell r="B1029">
            <v>2225.0500000000002</v>
          </cell>
        </row>
        <row r="1030">
          <cell r="A1030">
            <v>1119222</v>
          </cell>
          <cell r="B1030">
            <v>2391.71</v>
          </cell>
        </row>
        <row r="1031">
          <cell r="A1031">
            <v>1119223</v>
          </cell>
          <cell r="B1031">
            <v>2391.71</v>
          </cell>
        </row>
        <row r="1032">
          <cell r="A1032">
            <v>1119224</v>
          </cell>
          <cell r="B1032">
            <v>2745.77</v>
          </cell>
        </row>
        <row r="1033">
          <cell r="A1033">
            <v>1119225</v>
          </cell>
          <cell r="B1033">
            <v>2745.77</v>
          </cell>
        </row>
        <row r="1034">
          <cell r="A1034">
            <v>19071911</v>
          </cell>
          <cell r="B1034">
            <v>407.75</v>
          </cell>
        </row>
        <row r="1035">
          <cell r="A1035">
            <v>19071440</v>
          </cell>
          <cell r="B1035">
            <v>1098.47</v>
          </cell>
        </row>
        <row r="1036">
          <cell r="A1036">
            <v>19071993</v>
          </cell>
          <cell r="B1036">
            <v>142.08000000000001</v>
          </cell>
        </row>
        <row r="1037">
          <cell r="A1037">
            <v>19071994</v>
          </cell>
          <cell r="B1037">
            <v>180.2</v>
          </cell>
        </row>
        <row r="1038">
          <cell r="A1038">
            <v>1118748</v>
          </cell>
          <cell r="B1038">
            <v>42.64</v>
          </cell>
        </row>
        <row r="1039">
          <cell r="A1039">
            <v>1118747</v>
          </cell>
          <cell r="B1039">
            <v>309.85000000000002</v>
          </cell>
        </row>
        <row r="1040">
          <cell r="A1040">
            <v>1118746</v>
          </cell>
          <cell r="B1040">
            <v>203.66</v>
          </cell>
        </row>
        <row r="1041">
          <cell r="A1041">
            <v>1111935</v>
          </cell>
          <cell r="B1041">
            <v>73.790000000000006</v>
          </cell>
        </row>
        <row r="1042">
          <cell r="A1042">
            <v>19070614</v>
          </cell>
          <cell r="B1042">
            <v>132.57</v>
          </cell>
        </row>
        <row r="1043">
          <cell r="A1043">
            <v>29128401</v>
          </cell>
          <cell r="B1043">
            <v>66.739999999999995</v>
          </cell>
        </row>
        <row r="1044">
          <cell r="A1044">
            <v>29128422</v>
          </cell>
          <cell r="B1044">
            <v>191.74</v>
          </cell>
        </row>
        <row r="1045">
          <cell r="A1045">
            <v>29128442</v>
          </cell>
          <cell r="B1045">
            <v>338.44</v>
          </cell>
        </row>
        <row r="1046">
          <cell r="A1046">
            <v>530561</v>
          </cell>
          <cell r="B1046">
            <v>524.39</v>
          </cell>
        </row>
        <row r="1047">
          <cell r="A1047">
            <v>1056355</v>
          </cell>
          <cell r="B1047">
            <v>143.22</v>
          </cell>
        </row>
        <row r="1048">
          <cell r="A1048">
            <v>1086547</v>
          </cell>
          <cell r="B1048">
            <v>55.45</v>
          </cell>
        </row>
        <row r="1049">
          <cell r="A1049">
            <v>19071993</v>
          </cell>
          <cell r="B1049">
            <v>142.08000000000001</v>
          </cell>
        </row>
        <row r="1050">
          <cell r="A1050">
            <v>19071994</v>
          </cell>
          <cell r="B1050">
            <v>180.2</v>
          </cell>
        </row>
        <row r="1051">
          <cell r="A1051">
            <v>18040370</v>
          </cell>
          <cell r="B1051">
            <v>13.85</v>
          </cell>
        </row>
        <row r="1052">
          <cell r="A1052">
            <v>18040203</v>
          </cell>
          <cell r="B1052">
            <v>23.1</v>
          </cell>
        </row>
        <row r="1053">
          <cell r="A1053">
            <v>18040338</v>
          </cell>
          <cell r="B1053">
            <v>46.2</v>
          </cell>
        </row>
        <row r="1054">
          <cell r="A1054">
            <v>18040329</v>
          </cell>
          <cell r="B1054">
            <v>12.72</v>
          </cell>
        </row>
        <row r="1055">
          <cell r="A1055">
            <v>18040330</v>
          </cell>
          <cell r="B1055">
            <v>26.57</v>
          </cell>
        </row>
        <row r="1056">
          <cell r="A1056">
            <v>19070679</v>
          </cell>
          <cell r="B1056">
            <v>91.25</v>
          </cell>
        </row>
        <row r="1057">
          <cell r="A1057">
            <v>18040303</v>
          </cell>
          <cell r="B1057">
            <v>26.57</v>
          </cell>
        </row>
        <row r="1058">
          <cell r="A1058">
            <v>19902512</v>
          </cell>
          <cell r="B1058">
            <v>100.49</v>
          </cell>
        </row>
        <row r="1059">
          <cell r="A1059">
            <v>19901562</v>
          </cell>
          <cell r="B1059">
            <v>128.21</v>
          </cell>
        </row>
        <row r="1060">
          <cell r="A1060">
            <v>262135</v>
          </cell>
          <cell r="B1060">
            <v>83.17</v>
          </cell>
        </row>
        <row r="1061">
          <cell r="A1061">
            <v>1020844</v>
          </cell>
          <cell r="B1061">
            <v>143.22</v>
          </cell>
        </row>
        <row r="1062">
          <cell r="A1062">
            <v>1070642</v>
          </cell>
          <cell r="B1062">
            <v>160.54</v>
          </cell>
        </row>
        <row r="1063">
          <cell r="A1063">
            <v>1070641</v>
          </cell>
          <cell r="B1063">
            <v>236.8</v>
          </cell>
        </row>
        <row r="1064">
          <cell r="A1064">
            <v>48829254</v>
          </cell>
          <cell r="B1064">
            <v>348.83</v>
          </cell>
        </row>
        <row r="1065">
          <cell r="A1065">
            <v>48829255</v>
          </cell>
          <cell r="B1065">
            <v>412.36</v>
          </cell>
        </row>
        <row r="1066">
          <cell r="A1066">
            <v>19070178</v>
          </cell>
          <cell r="B1066">
            <v>124.75</v>
          </cell>
        </row>
        <row r="1067">
          <cell r="A1067">
            <v>1009771</v>
          </cell>
          <cell r="B1067">
            <v>35.81</v>
          </cell>
        </row>
        <row r="1068">
          <cell r="A1068">
            <v>1009773</v>
          </cell>
          <cell r="B1068">
            <v>42.73</v>
          </cell>
        </row>
        <row r="1069">
          <cell r="A1069">
            <v>1036090</v>
          </cell>
          <cell r="B1069">
            <v>148.99</v>
          </cell>
        </row>
        <row r="1070">
          <cell r="A1070">
            <v>411503</v>
          </cell>
          <cell r="B1070">
            <v>33.49</v>
          </cell>
        </row>
        <row r="1071">
          <cell r="A1071">
            <v>1050382</v>
          </cell>
          <cell r="B1071">
            <v>93.55</v>
          </cell>
        </row>
        <row r="1072">
          <cell r="A1072">
            <v>48829250</v>
          </cell>
          <cell r="B1072">
            <v>231.01</v>
          </cell>
        </row>
        <row r="1073">
          <cell r="A1073">
            <v>48829251</v>
          </cell>
          <cell r="B1073">
            <v>287.61</v>
          </cell>
        </row>
        <row r="1074">
          <cell r="A1074">
            <v>48829252</v>
          </cell>
          <cell r="B1074">
            <v>475.89</v>
          </cell>
        </row>
        <row r="1075">
          <cell r="A1075">
            <v>1056708</v>
          </cell>
          <cell r="B1075">
            <v>146.69999999999999</v>
          </cell>
        </row>
        <row r="1076">
          <cell r="A1076">
            <v>1056709</v>
          </cell>
          <cell r="B1076">
            <v>157.1</v>
          </cell>
        </row>
        <row r="1077">
          <cell r="A1077">
            <v>1056710</v>
          </cell>
          <cell r="B1077">
            <v>212.52</v>
          </cell>
        </row>
        <row r="1078">
          <cell r="A1078">
            <v>18072644</v>
          </cell>
          <cell r="B1078">
            <v>18.48</v>
          </cell>
        </row>
        <row r="1079">
          <cell r="A1079">
            <v>18060163</v>
          </cell>
          <cell r="B1079">
            <v>18.48</v>
          </cell>
        </row>
        <row r="1080">
          <cell r="A1080">
            <v>18076348</v>
          </cell>
          <cell r="B1080">
            <v>27.71</v>
          </cell>
        </row>
        <row r="1081">
          <cell r="A1081">
            <v>18040636</v>
          </cell>
          <cell r="B1081">
            <v>252.95</v>
          </cell>
        </row>
        <row r="1082">
          <cell r="A1082">
            <v>40000692</v>
          </cell>
          <cell r="B1082">
            <v>453.94</v>
          </cell>
        </row>
        <row r="1083">
          <cell r="A1083">
            <v>18040252</v>
          </cell>
          <cell r="B1083">
            <v>436.61</v>
          </cell>
        </row>
        <row r="1084">
          <cell r="A1084">
            <v>18040911</v>
          </cell>
          <cell r="B1084">
            <v>464.34</v>
          </cell>
        </row>
        <row r="1085">
          <cell r="A1085">
            <v>520485</v>
          </cell>
          <cell r="B1085">
            <v>162.87</v>
          </cell>
        </row>
        <row r="1086">
          <cell r="A1086">
            <v>19053063</v>
          </cell>
          <cell r="B1086">
            <v>139.77000000000001</v>
          </cell>
        </row>
        <row r="1087">
          <cell r="A1087">
            <v>18040360</v>
          </cell>
          <cell r="B1087">
            <v>107.43</v>
          </cell>
        </row>
        <row r="1088">
          <cell r="A1088">
            <v>18075627</v>
          </cell>
          <cell r="B1088">
            <v>168.64</v>
          </cell>
        </row>
        <row r="1089">
          <cell r="A1089">
            <v>18040296</v>
          </cell>
          <cell r="B1089">
            <v>133.99</v>
          </cell>
        </row>
        <row r="1090">
          <cell r="A1090">
            <v>18040348</v>
          </cell>
          <cell r="B1090">
            <v>205.61</v>
          </cell>
        </row>
        <row r="1091">
          <cell r="A1091">
            <v>18040349</v>
          </cell>
          <cell r="B1091">
            <v>1354.89</v>
          </cell>
        </row>
        <row r="1092">
          <cell r="A1092">
            <v>18040350</v>
          </cell>
          <cell r="B1092">
            <v>967.93</v>
          </cell>
        </row>
        <row r="1093">
          <cell r="A1093">
            <v>18040351</v>
          </cell>
          <cell r="B1093">
            <v>2162.27</v>
          </cell>
        </row>
        <row r="1094">
          <cell r="A1094">
            <v>18081410</v>
          </cell>
          <cell r="B1094">
            <v>80.86</v>
          </cell>
        </row>
        <row r="1095">
          <cell r="A1095">
            <v>18040907</v>
          </cell>
          <cell r="B1095">
            <v>136.29</v>
          </cell>
        </row>
        <row r="1096">
          <cell r="A1096">
            <v>18040172</v>
          </cell>
          <cell r="B1096">
            <v>114.34</v>
          </cell>
        </row>
        <row r="1097">
          <cell r="A1097">
            <v>18040353</v>
          </cell>
          <cell r="B1097">
            <v>153.63</v>
          </cell>
        </row>
        <row r="1098">
          <cell r="A1098">
            <v>18040943</v>
          </cell>
          <cell r="B1098">
            <v>256.95999999999998</v>
          </cell>
        </row>
        <row r="1099">
          <cell r="A1099">
            <v>18040033</v>
          </cell>
          <cell r="B1099">
            <v>46.2</v>
          </cell>
        </row>
        <row r="1100">
          <cell r="A1100">
            <v>18040562</v>
          </cell>
          <cell r="B1100">
            <v>94.72</v>
          </cell>
        </row>
        <row r="1101">
          <cell r="A1101">
            <v>29128401</v>
          </cell>
          <cell r="B1101">
            <v>66.739999999999995</v>
          </cell>
        </row>
        <row r="1102">
          <cell r="A1102">
            <v>29128442</v>
          </cell>
          <cell r="B1102">
            <v>338.44</v>
          </cell>
        </row>
        <row r="1103">
          <cell r="A1103">
            <v>530561</v>
          </cell>
          <cell r="B1103">
            <v>524.39</v>
          </cell>
        </row>
        <row r="1104">
          <cell r="A1104">
            <v>1086547</v>
          </cell>
          <cell r="B1104">
            <v>55.45</v>
          </cell>
        </row>
        <row r="1105">
          <cell r="A1105">
            <v>29128422</v>
          </cell>
          <cell r="B1105">
            <v>191.74</v>
          </cell>
        </row>
        <row r="1106">
          <cell r="A1106">
            <v>19072366</v>
          </cell>
          <cell r="B1106">
            <v>46.2</v>
          </cell>
        </row>
        <row r="1107">
          <cell r="A1107">
            <v>533740</v>
          </cell>
          <cell r="B1107">
            <v>192.88</v>
          </cell>
        </row>
        <row r="1108">
          <cell r="A1108">
            <v>18040304</v>
          </cell>
          <cell r="B1108">
            <v>145.53</v>
          </cell>
        </row>
        <row r="1109">
          <cell r="A1109">
            <v>40982844</v>
          </cell>
          <cell r="B1109">
            <v>233.33</v>
          </cell>
        </row>
        <row r="1110">
          <cell r="A1110">
            <v>40982845</v>
          </cell>
          <cell r="B1110">
            <v>254.12</v>
          </cell>
        </row>
        <row r="1111">
          <cell r="A1111">
            <v>40982846</v>
          </cell>
          <cell r="B1111">
            <v>300.33</v>
          </cell>
        </row>
        <row r="1112">
          <cell r="A1112">
            <v>40982847</v>
          </cell>
          <cell r="B1112">
            <v>369.63</v>
          </cell>
        </row>
        <row r="1113">
          <cell r="A1113">
            <v>40982848</v>
          </cell>
          <cell r="B1113">
            <v>571.76</v>
          </cell>
        </row>
        <row r="1114">
          <cell r="A1114">
            <v>40982839</v>
          </cell>
          <cell r="B1114">
            <v>212.52</v>
          </cell>
        </row>
        <row r="1115">
          <cell r="A1115">
            <v>40982840</v>
          </cell>
          <cell r="B1115">
            <v>231.01</v>
          </cell>
        </row>
        <row r="1116">
          <cell r="A1116">
            <v>40982841</v>
          </cell>
          <cell r="B1116">
            <v>273.75</v>
          </cell>
        </row>
        <row r="1117">
          <cell r="A1117">
            <v>40982842</v>
          </cell>
          <cell r="B1117">
            <v>362.69</v>
          </cell>
        </row>
        <row r="1118">
          <cell r="A1118">
            <v>40982843</v>
          </cell>
          <cell r="B1118">
            <v>519.78</v>
          </cell>
        </row>
        <row r="1119">
          <cell r="A1119">
            <v>40982849</v>
          </cell>
          <cell r="B1119">
            <v>212.52</v>
          </cell>
        </row>
        <row r="1120">
          <cell r="A1120">
            <v>40982850</v>
          </cell>
          <cell r="B1120">
            <v>231.01</v>
          </cell>
        </row>
        <row r="1121">
          <cell r="A1121">
            <v>40982851</v>
          </cell>
          <cell r="B1121">
            <v>273.75</v>
          </cell>
        </row>
        <row r="1122">
          <cell r="A1122">
            <v>40982852</v>
          </cell>
          <cell r="B1122">
            <v>362.69</v>
          </cell>
        </row>
        <row r="1123">
          <cell r="A1123">
            <v>40982853</v>
          </cell>
          <cell r="B1123">
            <v>519.78</v>
          </cell>
        </row>
        <row r="1124">
          <cell r="A1124">
            <v>39019125</v>
          </cell>
          <cell r="B1124">
            <v>433.14</v>
          </cell>
        </row>
        <row r="1125">
          <cell r="A1125">
            <v>39019126</v>
          </cell>
          <cell r="B1125">
            <v>478.19</v>
          </cell>
        </row>
        <row r="1126">
          <cell r="A1126">
            <v>39019127</v>
          </cell>
          <cell r="B1126">
            <v>546.34</v>
          </cell>
        </row>
        <row r="1127">
          <cell r="A1127">
            <v>39019128</v>
          </cell>
          <cell r="B1127">
            <v>743.86</v>
          </cell>
        </row>
        <row r="1128">
          <cell r="A1128">
            <v>39300040</v>
          </cell>
          <cell r="B1128">
            <v>431.08</v>
          </cell>
        </row>
        <row r="1129">
          <cell r="A1129">
            <v>39300041</v>
          </cell>
          <cell r="B1129">
            <v>476.14</v>
          </cell>
        </row>
        <row r="1130">
          <cell r="A1130">
            <v>39300042</v>
          </cell>
          <cell r="B1130">
            <v>544.28</v>
          </cell>
        </row>
        <row r="1131">
          <cell r="A1131">
            <v>39300043</v>
          </cell>
          <cell r="B1131">
            <v>741.8</v>
          </cell>
        </row>
        <row r="1132">
          <cell r="A1132">
            <v>40982854</v>
          </cell>
          <cell r="B1132">
            <v>429.68</v>
          </cell>
        </row>
        <row r="1133">
          <cell r="A1133">
            <v>40982855</v>
          </cell>
          <cell r="B1133">
            <v>477.04</v>
          </cell>
        </row>
        <row r="1134">
          <cell r="A1134">
            <v>40982856</v>
          </cell>
          <cell r="B1134">
            <v>676.88</v>
          </cell>
        </row>
        <row r="1135">
          <cell r="A1135">
            <v>40982857</v>
          </cell>
          <cell r="B1135">
            <v>746.18</v>
          </cell>
        </row>
        <row r="1136">
          <cell r="A1136">
            <v>40982859</v>
          </cell>
          <cell r="B1136">
            <v>993.37</v>
          </cell>
        </row>
        <row r="1137">
          <cell r="A1137">
            <v>40982858</v>
          </cell>
          <cell r="B1137">
            <v>746.18</v>
          </cell>
        </row>
        <row r="1138">
          <cell r="A1138">
            <v>40982860</v>
          </cell>
          <cell r="B1138">
            <v>993.37</v>
          </cell>
        </row>
        <row r="1139">
          <cell r="A1139">
            <v>39019480</v>
          </cell>
          <cell r="B1139">
            <v>515.16999999999996</v>
          </cell>
        </row>
        <row r="1140">
          <cell r="A1140">
            <v>39019481</v>
          </cell>
          <cell r="B1140">
            <v>560.21</v>
          </cell>
        </row>
        <row r="1141">
          <cell r="A1141">
            <v>39019482</v>
          </cell>
          <cell r="B1141">
            <v>589.09</v>
          </cell>
        </row>
        <row r="1142">
          <cell r="A1142">
            <v>39019483</v>
          </cell>
          <cell r="B1142">
            <v>589.09</v>
          </cell>
        </row>
        <row r="1143">
          <cell r="A1143">
            <v>39019484</v>
          </cell>
          <cell r="B1143">
            <v>643.37</v>
          </cell>
        </row>
        <row r="1144">
          <cell r="A1144">
            <v>39019485</v>
          </cell>
          <cell r="B1144">
            <v>497.84</v>
          </cell>
        </row>
        <row r="1145">
          <cell r="A1145">
            <v>39019486</v>
          </cell>
          <cell r="B1145">
            <v>541.73</v>
          </cell>
        </row>
        <row r="1146">
          <cell r="A1146">
            <v>39019487</v>
          </cell>
          <cell r="B1146">
            <v>568.29</v>
          </cell>
        </row>
        <row r="1147">
          <cell r="A1147">
            <v>39019488</v>
          </cell>
          <cell r="B1147">
            <v>568.29</v>
          </cell>
        </row>
        <row r="1148">
          <cell r="A1148">
            <v>39019489</v>
          </cell>
          <cell r="B1148">
            <v>622.59</v>
          </cell>
        </row>
        <row r="1149">
          <cell r="A1149">
            <v>39022528</v>
          </cell>
          <cell r="B1149">
            <v>726.84</v>
          </cell>
        </row>
        <row r="1150">
          <cell r="A1150">
            <v>39022529</v>
          </cell>
          <cell r="B1150">
            <v>766.29</v>
          </cell>
        </row>
        <row r="1151">
          <cell r="A1151">
            <v>39022530</v>
          </cell>
          <cell r="B1151">
            <v>802.34</v>
          </cell>
        </row>
        <row r="1152">
          <cell r="A1152">
            <v>39022531</v>
          </cell>
          <cell r="B1152">
            <v>829.4</v>
          </cell>
        </row>
        <row r="1153">
          <cell r="A1153">
            <v>39022532</v>
          </cell>
          <cell r="B1153">
            <v>867.7</v>
          </cell>
        </row>
        <row r="1154">
          <cell r="A1154">
            <v>39022533</v>
          </cell>
          <cell r="B1154">
            <v>971.38</v>
          </cell>
        </row>
        <row r="1155">
          <cell r="A1155">
            <v>39022534</v>
          </cell>
          <cell r="B1155">
            <v>1067.18</v>
          </cell>
        </row>
        <row r="1156">
          <cell r="A1156">
            <v>39022535</v>
          </cell>
          <cell r="B1156">
            <v>1164.08</v>
          </cell>
        </row>
        <row r="1157">
          <cell r="A1157">
            <v>39022536</v>
          </cell>
          <cell r="B1157">
            <v>1246.3499999999999</v>
          </cell>
        </row>
        <row r="1158">
          <cell r="A1158">
            <v>39022537</v>
          </cell>
          <cell r="B1158">
            <v>1395.1</v>
          </cell>
        </row>
        <row r="1159">
          <cell r="A1159">
            <v>39022538</v>
          </cell>
          <cell r="B1159">
            <v>1665.56</v>
          </cell>
        </row>
        <row r="1160">
          <cell r="A1160">
            <v>39022539</v>
          </cell>
          <cell r="B1160">
            <v>731.35</v>
          </cell>
        </row>
        <row r="1161">
          <cell r="A1161">
            <v>39022540</v>
          </cell>
          <cell r="B1161">
            <v>773.06</v>
          </cell>
        </row>
        <row r="1162">
          <cell r="A1162">
            <v>39022541</v>
          </cell>
          <cell r="B1162">
            <v>838.41</v>
          </cell>
        </row>
        <row r="1163">
          <cell r="A1163">
            <v>39022542</v>
          </cell>
          <cell r="B1163">
            <v>928.56</v>
          </cell>
        </row>
        <row r="1164">
          <cell r="A1164">
            <v>39022543</v>
          </cell>
          <cell r="B1164">
            <v>1023.23</v>
          </cell>
        </row>
        <row r="1165">
          <cell r="A1165">
            <v>39022544</v>
          </cell>
          <cell r="B1165">
            <v>1185.49</v>
          </cell>
        </row>
        <row r="1166">
          <cell r="A1166">
            <v>39022545</v>
          </cell>
          <cell r="B1166">
            <v>1368.04</v>
          </cell>
        </row>
        <row r="1167">
          <cell r="A1167">
            <v>39022546</v>
          </cell>
          <cell r="B1167">
            <v>1386.08</v>
          </cell>
        </row>
        <row r="1168">
          <cell r="A1168">
            <v>39022547</v>
          </cell>
          <cell r="B1168">
            <v>1406.36</v>
          </cell>
        </row>
        <row r="1169">
          <cell r="A1169">
            <v>39022548</v>
          </cell>
          <cell r="B1169">
            <v>1871.77</v>
          </cell>
        </row>
        <row r="1170">
          <cell r="A1170">
            <v>39022549</v>
          </cell>
          <cell r="B1170">
            <v>1991.22</v>
          </cell>
        </row>
        <row r="1171">
          <cell r="A1171">
            <v>39022550</v>
          </cell>
          <cell r="B1171">
            <v>786.57</v>
          </cell>
        </row>
        <row r="1172">
          <cell r="A1172">
            <v>39022551</v>
          </cell>
          <cell r="B1172">
            <v>844.04</v>
          </cell>
        </row>
        <row r="1173">
          <cell r="A1173">
            <v>39022552</v>
          </cell>
          <cell r="B1173">
            <v>910.53</v>
          </cell>
        </row>
        <row r="1174">
          <cell r="A1174">
            <v>39022553</v>
          </cell>
          <cell r="B1174">
            <v>1196.77</v>
          </cell>
        </row>
        <row r="1175">
          <cell r="A1175">
            <v>39022554</v>
          </cell>
          <cell r="B1175">
            <v>1412</v>
          </cell>
        </row>
        <row r="1176">
          <cell r="A1176">
            <v>39022555</v>
          </cell>
          <cell r="B1176">
            <v>1628.36</v>
          </cell>
        </row>
        <row r="1177">
          <cell r="A1177">
            <v>39022556</v>
          </cell>
          <cell r="B1177">
            <v>1730.92</v>
          </cell>
        </row>
        <row r="1178">
          <cell r="A1178">
            <v>39022557</v>
          </cell>
          <cell r="B1178">
            <v>858.7</v>
          </cell>
        </row>
        <row r="1179">
          <cell r="A1179">
            <v>39022558</v>
          </cell>
          <cell r="B1179">
            <v>1125.75</v>
          </cell>
        </row>
        <row r="1180">
          <cell r="A1180">
            <v>39022559</v>
          </cell>
          <cell r="B1180">
            <v>1339.87</v>
          </cell>
        </row>
        <row r="1181">
          <cell r="A1181">
            <v>39022560</v>
          </cell>
          <cell r="B1181">
            <v>1537.08</v>
          </cell>
        </row>
        <row r="1182">
          <cell r="A1182">
            <v>39022561</v>
          </cell>
          <cell r="B1182">
            <v>1656.54</v>
          </cell>
        </row>
        <row r="1183">
          <cell r="A1183">
            <v>39022562</v>
          </cell>
          <cell r="B1183">
            <v>1279.03</v>
          </cell>
        </row>
        <row r="1184">
          <cell r="A1184">
            <v>39022563</v>
          </cell>
          <cell r="B1184">
            <v>1405.23</v>
          </cell>
        </row>
        <row r="1185">
          <cell r="A1185">
            <v>39022564</v>
          </cell>
          <cell r="B1185">
            <v>1673.44</v>
          </cell>
        </row>
        <row r="1186">
          <cell r="A1186">
            <v>39022565</v>
          </cell>
          <cell r="B1186">
            <v>546.79999999999995</v>
          </cell>
        </row>
        <row r="1187">
          <cell r="A1187">
            <v>39022566</v>
          </cell>
          <cell r="B1187">
            <v>559.28</v>
          </cell>
        </row>
        <row r="1188">
          <cell r="A1188">
            <v>39022567</v>
          </cell>
          <cell r="B1188">
            <v>600.98</v>
          </cell>
        </row>
        <row r="1189">
          <cell r="A1189">
            <v>39022568</v>
          </cell>
          <cell r="B1189">
            <v>660.7</v>
          </cell>
        </row>
        <row r="1190">
          <cell r="A1190">
            <v>39022569</v>
          </cell>
          <cell r="B1190">
            <v>746.35</v>
          </cell>
        </row>
        <row r="1191">
          <cell r="A1191">
            <v>39022570</v>
          </cell>
          <cell r="B1191">
            <v>800.73</v>
          </cell>
        </row>
        <row r="1192">
          <cell r="A1192">
            <v>39022571</v>
          </cell>
          <cell r="B1192">
            <v>928.56</v>
          </cell>
        </row>
        <row r="1193">
          <cell r="A1193">
            <v>39022572</v>
          </cell>
          <cell r="B1193">
            <v>1008.57</v>
          </cell>
        </row>
        <row r="1194">
          <cell r="A1194">
            <v>39022573</v>
          </cell>
          <cell r="B1194">
            <v>1086.33</v>
          </cell>
        </row>
        <row r="1195">
          <cell r="A1195">
            <v>39022574</v>
          </cell>
          <cell r="B1195">
            <v>1330.87</v>
          </cell>
        </row>
        <row r="1196">
          <cell r="A1196">
            <v>39022575</v>
          </cell>
          <cell r="B1196">
            <v>1587.8</v>
          </cell>
        </row>
        <row r="1197">
          <cell r="A1197">
            <v>39022576</v>
          </cell>
          <cell r="B1197">
            <v>567.95000000000005</v>
          </cell>
        </row>
        <row r="1198">
          <cell r="A1198">
            <v>39022577</v>
          </cell>
          <cell r="B1198">
            <v>609.66</v>
          </cell>
        </row>
        <row r="1199">
          <cell r="A1199">
            <v>39022578</v>
          </cell>
          <cell r="B1199">
            <v>669.37</v>
          </cell>
        </row>
        <row r="1200">
          <cell r="A1200">
            <v>39022579</v>
          </cell>
          <cell r="B1200">
            <v>755.02</v>
          </cell>
        </row>
        <row r="1201">
          <cell r="A1201">
            <v>39022580</v>
          </cell>
          <cell r="B1201">
            <v>816.99</v>
          </cell>
        </row>
        <row r="1202">
          <cell r="A1202">
            <v>39022581</v>
          </cell>
          <cell r="B1202">
            <v>877.84</v>
          </cell>
        </row>
        <row r="1203">
          <cell r="A1203">
            <v>39022582</v>
          </cell>
          <cell r="B1203">
            <v>971.38</v>
          </cell>
        </row>
        <row r="1204">
          <cell r="A1204">
            <v>39022583</v>
          </cell>
          <cell r="B1204">
            <v>1072.29</v>
          </cell>
        </row>
        <row r="1205">
          <cell r="A1205">
            <v>39022584</v>
          </cell>
          <cell r="B1205">
            <v>1179.8599999999999</v>
          </cell>
        </row>
        <row r="1206">
          <cell r="A1206">
            <v>39022585</v>
          </cell>
          <cell r="B1206">
            <v>1392.85</v>
          </cell>
        </row>
        <row r="1207">
          <cell r="A1207">
            <v>39022586</v>
          </cell>
          <cell r="B1207">
            <v>1526.93</v>
          </cell>
        </row>
        <row r="1208">
          <cell r="A1208">
            <v>39022587</v>
          </cell>
          <cell r="B1208">
            <v>1886.52</v>
          </cell>
        </row>
        <row r="1209">
          <cell r="A1209">
            <v>39022588</v>
          </cell>
          <cell r="B1209">
            <v>624.29999999999995</v>
          </cell>
        </row>
        <row r="1210">
          <cell r="A1210">
            <v>39022589</v>
          </cell>
          <cell r="B1210">
            <v>676.14</v>
          </cell>
        </row>
        <row r="1211">
          <cell r="A1211">
            <v>39022590</v>
          </cell>
          <cell r="B1211">
            <v>739.25</v>
          </cell>
        </row>
        <row r="1212">
          <cell r="A1212">
            <v>39022591</v>
          </cell>
          <cell r="B1212">
            <v>808.95</v>
          </cell>
        </row>
        <row r="1213">
          <cell r="A1213">
            <v>39022592</v>
          </cell>
          <cell r="B1213">
            <v>1049.8900000000001</v>
          </cell>
        </row>
        <row r="1214">
          <cell r="A1214">
            <v>39022593</v>
          </cell>
          <cell r="B1214">
            <v>1250.8599999999999</v>
          </cell>
        </row>
        <row r="1215">
          <cell r="A1215">
            <v>39022594</v>
          </cell>
          <cell r="B1215">
            <v>1447.6</v>
          </cell>
        </row>
        <row r="1216">
          <cell r="A1216">
            <v>39022595</v>
          </cell>
          <cell r="B1216">
            <v>1825.57</v>
          </cell>
        </row>
        <row r="1217">
          <cell r="A1217">
            <v>39022596</v>
          </cell>
          <cell r="B1217">
            <v>2434.09</v>
          </cell>
        </row>
        <row r="1218">
          <cell r="A1218">
            <v>39022597</v>
          </cell>
          <cell r="B1218">
            <v>707.7</v>
          </cell>
        </row>
        <row r="1219">
          <cell r="A1219">
            <v>39022598</v>
          </cell>
          <cell r="B1219">
            <v>845.17</v>
          </cell>
        </row>
        <row r="1220">
          <cell r="A1220">
            <v>39022599</v>
          </cell>
          <cell r="B1220">
            <v>1019.84</v>
          </cell>
        </row>
        <row r="1221">
          <cell r="A1221">
            <v>39022600</v>
          </cell>
          <cell r="B1221">
            <v>1161.83</v>
          </cell>
        </row>
        <row r="1222">
          <cell r="A1222">
            <v>39022601</v>
          </cell>
          <cell r="B1222">
            <v>1301.57</v>
          </cell>
        </row>
        <row r="1223">
          <cell r="A1223">
            <v>39022602</v>
          </cell>
          <cell r="B1223">
            <v>1681.34</v>
          </cell>
        </row>
        <row r="1224">
          <cell r="A1224">
            <v>39022603</v>
          </cell>
          <cell r="B1224">
            <v>2058.23</v>
          </cell>
        </row>
        <row r="1225">
          <cell r="A1225">
            <v>39022604</v>
          </cell>
          <cell r="B1225">
            <v>2693.28</v>
          </cell>
        </row>
        <row r="1226">
          <cell r="A1226">
            <v>39022605</v>
          </cell>
          <cell r="B1226">
            <v>2936.86</v>
          </cell>
        </row>
        <row r="1227">
          <cell r="A1227">
            <v>39022606</v>
          </cell>
          <cell r="B1227">
            <v>929.68</v>
          </cell>
        </row>
        <row r="1228">
          <cell r="A1228">
            <v>39022607</v>
          </cell>
          <cell r="B1228">
            <v>1055.9000000000001</v>
          </cell>
        </row>
        <row r="1229">
          <cell r="A1229">
            <v>39022608</v>
          </cell>
          <cell r="B1229">
            <v>1297.06</v>
          </cell>
        </row>
        <row r="1230">
          <cell r="A1230">
            <v>39022609</v>
          </cell>
          <cell r="B1230">
            <v>1805.28</v>
          </cell>
        </row>
        <row r="1231">
          <cell r="A1231">
            <v>39022610</v>
          </cell>
          <cell r="B1231">
            <v>2030.66</v>
          </cell>
        </row>
        <row r="1232">
          <cell r="A1232">
            <v>39022611</v>
          </cell>
          <cell r="B1232">
            <v>2440.86</v>
          </cell>
        </row>
        <row r="1233">
          <cell r="A1233">
            <v>39022612</v>
          </cell>
          <cell r="B1233">
            <v>3128.27</v>
          </cell>
        </row>
        <row r="1234">
          <cell r="A1234">
            <v>39022480</v>
          </cell>
          <cell r="B1234">
            <v>287.70999999999998</v>
          </cell>
        </row>
        <row r="1235">
          <cell r="A1235">
            <v>39022481</v>
          </cell>
          <cell r="B1235">
            <v>294.45999999999998</v>
          </cell>
        </row>
        <row r="1236">
          <cell r="A1236">
            <v>39022482</v>
          </cell>
          <cell r="B1236">
            <v>300.08</v>
          </cell>
        </row>
        <row r="1237">
          <cell r="A1237">
            <v>39022483</v>
          </cell>
          <cell r="B1237">
            <v>312.49</v>
          </cell>
        </row>
        <row r="1238">
          <cell r="A1238">
            <v>39022484</v>
          </cell>
          <cell r="B1238">
            <v>377.86</v>
          </cell>
        </row>
        <row r="1239">
          <cell r="A1239">
            <v>39022485</v>
          </cell>
          <cell r="B1239">
            <v>447.92</v>
          </cell>
        </row>
        <row r="1240">
          <cell r="A1240">
            <v>39022486</v>
          </cell>
          <cell r="B1240">
            <v>490.54</v>
          </cell>
        </row>
        <row r="1241">
          <cell r="A1241">
            <v>39022487</v>
          </cell>
          <cell r="B1241">
            <v>509.69</v>
          </cell>
        </row>
        <row r="1242">
          <cell r="A1242">
            <v>39022488</v>
          </cell>
          <cell r="B1242">
            <v>584.08000000000004</v>
          </cell>
        </row>
        <row r="1243">
          <cell r="A1243">
            <v>39022489</v>
          </cell>
          <cell r="B1243">
            <v>928.56</v>
          </cell>
        </row>
        <row r="1244">
          <cell r="A1244">
            <v>39022490</v>
          </cell>
          <cell r="B1244">
            <v>1107.74</v>
          </cell>
        </row>
        <row r="1245">
          <cell r="A1245">
            <v>39022491</v>
          </cell>
          <cell r="B1245">
            <v>296.37</v>
          </cell>
        </row>
        <row r="1246">
          <cell r="A1246">
            <v>39022492</v>
          </cell>
          <cell r="B1246">
            <v>303.14</v>
          </cell>
        </row>
        <row r="1247">
          <cell r="A1247">
            <v>39022493</v>
          </cell>
          <cell r="B1247">
            <v>308.76</v>
          </cell>
        </row>
        <row r="1248">
          <cell r="A1248">
            <v>39022494</v>
          </cell>
          <cell r="B1248">
            <v>321.17</v>
          </cell>
        </row>
        <row r="1249">
          <cell r="A1249">
            <v>39022495</v>
          </cell>
          <cell r="B1249">
            <v>386.53</v>
          </cell>
        </row>
        <row r="1250">
          <cell r="A1250">
            <v>39022496</v>
          </cell>
          <cell r="B1250">
            <v>441.21</v>
          </cell>
        </row>
        <row r="1251">
          <cell r="A1251">
            <v>39022497</v>
          </cell>
          <cell r="B1251">
            <v>499.22</v>
          </cell>
        </row>
        <row r="1252">
          <cell r="A1252">
            <v>39022498</v>
          </cell>
          <cell r="B1252">
            <v>518.38</v>
          </cell>
        </row>
        <row r="1253">
          <cell r="A1253">
            <v>39022499</v>
          </cell>
          <cell r="B1253">
            <v>592.76</v>
          </cell>
        </row>
        <row r="1254">
          <cell r="A1254">
            <v>39022500</v>
          </cell>
          <cell r="B1254">
            <v>830.51</v>
          </cell>
        </row>
        <row r="1255">
          <cell r="A1255">
            <v>39022501</v>
          </cell>
          <cell r="B1255">
            <v>958.99</v>
          </cell>
        </row>
        <row r="1256">
          <cell r="A1256">
            <v>39022502</v>
          </cell>
          <cell r="B1256">
            <v>1146.06</v>
          </cell>
        </row>
        <row r="1257">
          <cell r="A1257">
            <v>39022503</v>
          </cell>
          <cell r="B1257">
            <v>352.72</v>
          </cell>
        </row>
        <row r="1258">
          <cell r="A1258">
            <v>39022504</v>
          </cell>
          <cell r="B1258">
            <v>360.61</v>
          </cell>
        </row>
        <row r="1259">
          <cell r="A1259">
            <v>39022505</v>
          </cell>
          <cell r="B1259">
            <v>371.87</v>
          </cell>
        </row>
        <row r="1260">
          <cell r="A1260">
            <v>39022506</v>
          </cell>
          <cell r="B1260">
            <v>494.7</v>
          </cell>
        </row>
        <row r="1261">
          <cell r="A1261">
            <v>39022507</v>
          </cell>
          <cell r="B1261">
            <v>572.46</v>
          </cell>
        </row>
        <row r="1262">
          <cell r="A1262">
            <v>39022508</v>
          </cell>
          <cell r="B1262">
            <v>669.37</v>
          </cell>
        </row>
        <row r="1263">
          <cell r="A1263">
            <v>39022509</v>
          </cell>
          <cell r="B1263">
            <v>769.67</v>
          </cell>
        </row>
        <row r="1264">
          <cell r="A1264">
            <v>39022510</v>
          </cell>
          <cell r="B1264">
            <v>1008.57</v>
          </cell>
        </row>
        <row r="1265">
          <cell r="A1265">
            <v>39022511</v>
          </cell>
          <cell r="B1265">
            <v>1512.29</v>
          </cell>
        </row>
        <row r="1266">
          <cell r="A1266">
            <v>39022512</v>
          </cell>
          <cell r="B1266">
            <v>339.2</v>
          </cell>
        </row>
        <row r="1267">
          <cell r="A1267">
            <v>39022513</v>
          </cell>
          <cell r="B1267">
            <v>423.72</v>
          </cell>
        </row>
        <row r="1268">
          <cell r="A1268">
            <v>39022514</v>
          </cell>
          <cell r="B1268">
            <v>510.49</v>
          </cell>
        </row>
        <row r="1269">
          <cell r="A1269">
            <v>39022515</v>
          </cell>
          <cell r="B1269">
            <v>573.58000000000004</v>
          </cell>
        </row>
        <row r="1270">
          <cell r="A1270">
            <v>39022516</v>
          </cell>
          <cell r="B1270">
            <v>722.34</v>
          </cell>
        </row>
        <row r="1271">
          <cell r="A1271">
            <v>39022517</v>
          </cell>
          <cell r="B1271">
            <v>856.45</v>
          </cell>
        </row>
        <row r="1272">
          <cell r="A1272">
            <v>39022518</v>
          </cell>
          <cell r="B1272">
            <v>872.22</v>
          </cell>
        </row>
        <row r="1273">
          <cell r="A1273">
            <v>39022519</v>
          </cell>
          <cell r="B1273">
            <v>1440.17</v>
          </cell>
        </row>
        <row r="1274">
          <cell r="A1274">
            <v>39022520</v>
          </cell>
          <cell r="B1274">
            <v>1599.06</v>
          </cell>
        </row>
        <row r="1275">
          <cell r="A1275">
            <v>39022521</v>
          </cell>
          <cell r="B1275">
            <v>576.95000000000005</v>
          </cell>
        </row>
        <row r="1276">
          <cell r="A1276">
            <v>39022522</v>
          </cell>
          <cell r="B1276">
            <v>611.91</v>
          </cell>
        </row>
        <row r="1277">
          <cell r="A1277">
            <v>39022523</v>
          </cell>
          <cell r="B1277">
            <v>716.71</v>
          </cell>
        </row>
        <row r="1278">
          <cell r="A1278">
            <v>39022524</v>
          </cell>
          <cell r="B1278">
            <v>987.17</v>
          </cell>
        </row>
        <row r="1279">
          <cell r="A1279">
            <v>39022525</v>
          </cell>
          <cell r="B1279">
            <v>1087.45</v>
          </cell>
        </row>
        <row r="1280">
          <cell r="A1280">
            <v>39022526</v>
          </cell>
          <cell r="B1280">
            <v>1174.22</v>
          </cell>
        </row>
        <row r="1281">
          <cell r="A1281">
            <v>39022527</v>
          </cell>
          <cell r="B1281">
            <v>1896.56</v>
          </cell>
        </row>
        <row r="1282">
          <cell r="A1282">
            <v>95007112</v>
          </cell>
          <cell r="B1282">
            <v>994.11</v>
          </cell>
        </row>
        <row r="1283">
          <cell r="A1283">
            <v>95007113</v>
          </cell>
          <cell r="B1283">
            <v>1024.47</v>
          </cell>
        </row>
        <row r="1284">
          <cell r="A1284">
            <v>95007114</v>
          </cell>
          <cell r="B1284">
            <v>1055.22</v>
          </cell>
        </row>
        <row r="1285">
          <cell r="A1285">
            <v>95007115</v>
          </cell>
          <cell r="B1285">
            <v>1158.69</v>
          </cell>
        </row>
        <row r="1286">
          <cell r="A1286">
            <v>95007108</v>
          </cell>
          <cell r="B1286">
            <v>1065.99</v>
          </cell>
        </row>
        <row r="1287">
          <cell r="A1287">
            <v>95007109</v>
          </cell>
          <cell r="B1287">
            <v>1227.71</v>
          </cell>
        </row>
        <row r="1288">
          <cell r="A1288">
            <v>95007110</v>
          </cell>
          <cell r="B1288">
            <v>1102.68</v>
          </cell>
        </row>
        <row r="1289">
          <cell r="A1289">
            <v>95007111</v>
          </cell>
          <cell r="B1289">
            <v>1256.0999999999999</v>
          </cell>
        </row>
        <row r="1290">
          <cell r="A1290">
            <v>90065300</v>
          </cell>
          <cell r="B1290">
            <v>675.11</v>
          </cell>
        </row>
        <row r="1291">
          <cell r="A1291">
            <v>90065301</v>
          </cell>
          <cell r="B1291">
            <v>731.18</v>
          </cell>
        </row>
        <row r="1292">
          <cell r="A1292">
            <v>90065302</v>
          </cell>
          <cell r="B1292">
            <v>793.97</v>
          </cell>
        </row>
        <row r="1293">
          <cell r="A1293">
            <v>90065303</v>
          </cell>
          <cell r="B1293">
            <v>909.48</v>
          </cell>
        </row>
        <row r="1294">
          <cell r="A1294">
            <v>90065304</v>
          </cell>
          <cell r="B1294">
            <v>935.26</v>
          </cell>
        </row>
        <row r="1295">
          <cell r="A1295">
            <v>90065305</v>
          </cell>
          <cell r="B1295">
            <v>1032.83</v>
          </cell>
        </row>
        <row r="1296">
          <cell r="A1296">
            <v>90065306</v>
          </cell>
          <cell r="B1296">
            <v>1129.27</v>
          </cell>
        </row>
        <row r="1297">
          <cell r="A1297">
            <v>90065307</v>
          </cell>
          <cell r="B1297">
            <v>1214.51</v>
          </cell>
        </row>
        <row r="1298">
          <cell r="A1298">
            <v>90065308</v>
          </cell>
          <cell r="B1298">
            <v>1661.96</v>
          </cell>
        </row>
        <row r="1299">
          <cell r="A1299">
            <v>90065309</v>
          </cell>
          <cell r="B1299">
            <v>1824.55</v>
          </cell>
        </row>
        <row r="1300">
          <cell r="A1300">
            <v>90065310</v>
          </cell>
          <cell r="B1300">
            <v>1889.61</v>
          </cell>
        </row>
        <row r="1301">
          <cell r="A1301">
            <v>90065311</v>
          </cell>
          <cell r="B1301">
            <v>698.65</v>
          </cell>
        </row>
        <row r="1302">
          <cell r="A1302">
            <v>90065312</v>
          </cell>
          <cell r="B1302">
            <v>752.48</v>
          </cell>
        </row>
        <row r="1303">
          <cell r="A1303">
            <v>90065313</v>
          </cell>
          <cell r="B1303">
            <v>773.79</v>
          </cell>
        </row>
        <row r="1304">
          <cell r="A1304">
            <v>90065314</v>
          </cell>
          <cell r="B1304">
            <v>861.25</v>
          </cell>
        </row>
        <row r="1305">
          <cell r="A1305">
            <v>90065315</v>
          </cell>
          <cell r="B1305">
            <v>908.36</v>
          </cell>
        </row>
        <row r="1306">
          <cell r="A1306">
            <v>90065316</v>
          </cell>
          <cell r="B1306">
            <v>1027.22</v>
          </cell>
        </row>
        <row r="1307">
          <cell r="A1307">
            <v>90065317</v>
          </cell>
          <cell r="B1307">
            <v>1227.96</v>
          </cell>
        </row>
        <row r="1308">
          <cell r="A1308">
            <v>90065318</v>
          </cell>
          <cell r="B1308">
            <v>1413</v>
          </cell>
        </row>
        <row r="1309">
          <cell r="A1309">
            <v>90065319</v>
          </cell>
          <cell r="B1309">
            <v>1682.13</v>
          </cell>
        </row>
        <row r="1310">
          <cell r="A1310">
            <v>90065320</v>
          </cell>
          <cell r="B1310">
            <v>773.79</v>
          </cell>
        </row>
        <row r="1311">
          <cell r="A1311">
            <v>90065321</v>
          </cell>
          <cell r="B1311">
            <v>835.46</v>
          </cell>
        </row>
        <row r="1312">
          <cell r="A1312">
            <v>90065322</v>
          </cell>
          <cell r="B1312">
            <v>884.81</v>
          </cell>
        </row>
        <row r="1313">
          <cell r="A1313">
            <v>90065323</v>
          </cell>
          <cell r="B1313">
            <v>916.21</v>
          </cell>
        </row>
        <row r="1314">
          <cell r="A1314">
            <v>90065324</v>
          </cell>
          <cell r="B1314">
            <v>1098.98</v>
          </cell>
        </row>
        <row r="1315">
          <cell r="A1315">
            <v>90065325</v>
          </cell>
          <cell r="B1315">
            <v>1338.98</v>
          </cell>
        </row>
        <row r="1316">
          <cell r="A1316">
            <v>90065326</v>
          </cell>
          <cell r="B1316">
            <v>1550.93</v>
          </cell>
        </row>
        <row r="1317">
          <cell r="A1317">
            <v>90065327</v>
          </cell>
          <cell r="B1317">
            <v>792.85</v>
          </cell>
        </row>
        <row r="1318">
          <cell r="A1318">
            <v>90065328</v>
          </cell>
          <cell r="B1318">
            <v>814.15</v>
          </cell>
        </row>
        <row r="1319">
          <cell r="A1319">
            <v>90065329</v>
          </cell>
          <cell r="B1319">
            <v>866.85</v>
          </cell>
        </row>
        <row r="1320">
          <cell r="A1320">
            <v>90065330</v>
          </cell>
          <cell r="B1320">
            <v>1004.8</v>
          </cell>
        </row>
        <row r="1321">
          <cell r="A1321">
            <v>90065331</v>
          </cell>
          <cell r="B1321">
            <v>1217.8699999999999</v>
          </cell>
        </row>
        <row r="1322">
          <cell r="A1322">
            <v>90065332</v>
          </cell>
          <cell r="B1322">
            <v>1436.55</v>
          </cell>
        </row>
        <row r="1323">
          <cell r="A1323">
            <v>90065333</v>
          </cell>
          <cell r="B1323">
            <v>1541.96</v>
          </cell>
        </row>
        <row r="1324">
          <cell r="A1324">
            <v>90065334</v>
          </cell>
          <cell r="B1324">
            <v>1251.51</v>
          </cell>
        </row>
        <row r="1325">
          <cell r="A1325">
            <v>90065335</v>
          </cell>
          <cell r="B1325">
            <v>1297.49</v>
          </cell>
        </row>
        <row r="1326">
          <cell r="A1326">
            <v>90065336</v>
          </cell>
          <cell r="B1326">
            <v>1582.33</v>
          </cell>
        </row>
        <row r="1327">
          <cell r="A1327">
            <v>90065387</v>
          </cell>
          <cell r="B1327">
            <v>602.20000000000005</v>
          </cell>
        </row>
        <row r="1328">
          <cell r="A1328">
            <v>90065388</v>
          </cell>
          <cell r="B1328">
            <v>649.30999999999995</v>
          </cell>
        </row>
        <row r="1329">
          <cell r="A1329">
            <v>90065389</v>
          </cell>
          <cell r="B1329">
            <v>699.77</v>
          </cell>
        </row>
        <row r="1330">
          <cell r="A1330">
            <v>90065390</v>
          </cell>
          <cell r="B1330">
            <v>740.14</v>
          </cell>
        </row>
        <row r="1331">
          <cell r="A1331">
            <v>90065391</v>
          </cell>
          <cell r="B1331">
            <v>834.34</v>
          </cell>
        </row>
        <row r="1332">
          <cell r="A1332">
            <v>90065392</v>
          </cell>
          <cell r="B1332">
            <v>920.69</v>
          </cell>
        </row>
        <row r="1333">
          <cell r="A1333">
            <v>90065393</v>
          </cell>
          <cell r="B1333">
            <v>1008.17</v>
          </cell>
        </row>
        <row r="1334">
          <cell r="A1334">
            <v>90065394</v>
          </cell>
          <cell r="B1334">
            <v>1084.43</v>
          </cell>
        </row>
        <row r="1335">
          <cell r="A1335">
            <v>90065395</v>
          </cell>
          <cell r="B1335">
            <v>1480.28</v>
          </cell>
        </row>
        <row r="1336">
          <cell r="A1336">
            <v>90065396</v>
          </cell>
          <cell r="B1336">
            <v>1619.34</v>
          </cell>
        </row>
        <row r="1337">
          <cell r="A1337">
            <v>90065397</v>
          </cell>
          <cell r="B1337">
            <v>1672.03</v>
          </cell>
        </row>
        <row r="1338">
          <cell r="A1338">
            <v>90065398</v>
          </cell>
          <cell r="B1338">
            <v>1877.27</v>
          </cell>
        </row>
        <row r="1339">
          <cell r="A1339">
            <v>90065399</v>
          </cell>
          <cell r="B1339">
            <v>2109.38</v>
          </cell>
        </row>
        <row r="1340">
          <cell r="A1340">
            <v>90065400</v>
          </cell>
          <cell r="B1340">
            <v>2486.21</v>
          </cell>
        </row>
        <row r="1341">
          <cell r="A1341">
            <v>90065401</v>
          </cell>
          <cell r="B1341">
            <v>625.76</v>
          </cell>
        </row>
        <row r="1342">
          <cell r="A1342">
            <v>90065402</v>
          </cell>
          <cell r="B1342">
            <v>672.85</v>
          </cell>
        </row>
        <row r="1343">
          <cell r="A1343">
            <v>90065403</v>
          </cell>
          <cell r="B1343">
            <v>689.66</v>
          </cell>
        </row>
        <row r="1344">
          <cell r="A1344">
            <v>90065404</v>
          </cell>
          <cell r="B1344">
            <v>768.17</v>
          </cell>
        </row>
        <row r="1345">
          <cell r="A1345">
            <v>90065405</v>
          </cell>
          <cell r="B1345">
            <v>807.41</v>
          </cell>
        </row>
        <row r="1346">
          <cell r="A1346">
            <v>90065406</v>
          </cell>
          <cell r="B1346">
            <v>912.85</v>
          </cell>
        </row>
        <row r="1347">
          <cell r="A1347">
            <v>90065407</v>
          </cell>
          <cell r="B1347">
            <v>1097.8699999999999</v>
          </cell>
        </row>
        <row r="1348">
          <cell r="A1348">
            <v>90065408</v>
          </cell>
          <cell r="B1348">
            <v>1261.5899999999999</v>
          </cell>
        </row>
        <row r="1349">
          <cell r="A1349">
            <v>90065409</v>
          </cell>
          <cell r="B1349">
            <v>1501.59</v>
          </cell>
        </row>
        <row r="1350">
          <cell r="A1350">
            <v>90065410</v>
          </cell>
          <cell r="B1350">
            <v>1789.8</v>
          </cell>
        </row>
        <row r="1351">
          <cell r="A1351">
            <v>90065411</v>
          </cell>
          <cell r="B1351">
            <v>2231.63</v>
          </cell>
        </row>
        <row r="1352">
          <cell r="A1352">
            <v>90065412</v>
          </cell>
          <cell r="B1352">
            <v>2661.13</v>
          </cell>
        </row>
        <row r="1353">
          <cell r="A1353">
            <v>90065413</v>
          </cell>
          <cell r="B1353">
            <v>2686.92</v>
          </cell>
        </row>
        <row r="1354">
          <cell r="A1354">
            <v>90065414</v>
          </cell>
          <cell r="B1354">
            <v>2902.24</v>
          </cell>
        </row>
        <row r="1355">
          <cell r="A1355">
            <v>90065415</v>
          </cell>
          <cell r="B1355">
            <v>686.3</v>
          </cell>
        </row>
        <row r="1356">
          <cell r="A1356">
            <v>90065416</v>
          </cell>
          <cell r="B1356">
            <v>744.61</v>
          </cell>
        </row>
        <row r="1357">
          <cell r="A1357">
            <v>90065417</v>
          </cell>
          <cell r="B1357">
            <v>791.72</v>
          </cell>
        </row>
        <row r="1358">
          <cell r="A1358">
            <v>90065418</v>
          </cell>
          <cell r="B1358">
            <v>817.52</v>
          </cell>
        </row>
        <row r="1359">
          <cell r="A1359">
            <v>90065419</v>
          </cell>
          <cell r="B1359">
            <v>983.49</v>
          </cell>
        </row>
        <row r="1360">
          <cell r="A1360">
            <v>90065420</v>
          </cell>
          <cell r="B1360">
            <v>1195.43</v>
          </cell>
        </row>
        <row r="1361">
          <cell r="A1361">
            <v>90065421</v>
          </cell>
          <cell r="B1361">
            <v>1384.96</v>
          </cell>
        </row>
        <row r="1362">
          <cell r="A1362">
            <v>90065422</v>
          </cell>
          <cell r="B1362">
            <v>1498.22</v>
          </cell>
        </row>
        <row r="1363">
          <cell r="A1363">
            <v>90065423</v>
          </cell>
          <cell r="B1363">
            <v>1823.44</v>
          </cell>
        </row>
        <row r="1364">
          <cell r="A1364">
            <v>90065424</v>
          </cell>
          <cell r="B1364">
            <v>2026.42</v>
          </cell>
        </row>
        <row r="1365">
          <cell r="A1365">
            <v>90065425</v>
          </cell>
          <cell r="B1365">
            <v>2698.15</v>
          </cell>
        </row>
        <row r="1366">
          <cell r="A1366">
            <v>90065426</v>
          </cell>
          <cell r="B1366">
            <v>2754.22</v>
          </cell>
        </row>
        <row r="1367">
          <cell r="A1367">
            <v>90065427</v>
          </cell>
          <cell r="B1367">
            <v>2855.14</v>
          </cell>
        </row>
        <row r="1368">
          <cell r="A1368">
            <v>90065428</v>
          </cell>
          <cell r="B1368">
            <v>2902.24</v>
          </cell>
        </row>
        <row r="1369">
          <cell r="A1369">
            <v>90065429</v>
          </cell>
          <cell r="B1369">
            <v>3052.51</v>
          </cell>
        </row>
        <row r="1370">
          <cell r="A1370">
            <v>90065430</v>
          </cell>
          <cell r="B1370">
            <v>708.74</v>
          </cell>
        </row>
        <row r="1371">
          <cell r="A1371">
            <v>90065431</v>
          </cell>
          <cell r="B1371">
            <v>727.79</v>
          </cell>
        </row>
        <row r="1372">
          <cell r="A1372">
            <v>90065432</v>
          </cell>
          <cell r="B1372">
            <v>779.39</v>
          </cell>
        </row>
        <row r="1373">
          <cell r="A1373">
            <v>90065433</v>
          </cell>
          <cell r="B1373">
            <v>901.62</v>
          </cell>
        </row>
        <row r="1374">
          <cell r="A1374">
            <v>90065434</v>
          </cell>
          <cell r="B1374">
            <v>1127.03</v>
          </cell>
        </row>
        <row r="1375">
          <cell r="A1375">
            <v>90065435</v>
          </cell>
          <cell r="B1375">
            <v>1295.25</v>
          </cell>
        </row>
        <row r="1376">
          <cell r="A1376">
            <v>90065436</v>
          </cell>
          <cell r="B1376">
            <v>1407.37</v>
          </cell>
        </row>
        <row r="1377">
          <cell r="A1377">
            <v>90065437</v>
          </cell>
          <cell r="B1377">
            <v>1734.84</v>
          </cell>
        </row>
        <row r="1378">
          <cell r="A1378">
            <v>90065438</v>
          </cell>
          <cell r="B1378">
            <v>1929.98</v>
          </cell>
        </row>
        <row r="1379">
          <cell r="A1379">
            <v>90065439</v>
          </cell>
          <cell r="B1379">
            <v>2146.39</v>
          </cell>
        </row>
        <row r="1380">
          <cell r="A1380">
            <v>90065440</v>
          </cell>
          <cell r="B1380">
            <v>2342.64</v>
          </cell>
        </row>
        <row r="1381">
          <cell r="A1381">
            <v>90065441</v>
          </cell>
          <cell r="B1381">
            <v>2523.2199999999998</v>
          </cell>
        </row>
        <row r="1382">
          <cell r="A1382">
            <v>90065442</v>
          </cell>
          <cell r="B1382">
            <v>2906.73</v>
          </cell>
        </row>
        <row r="1383">
          <cell r="A1383">
            <v>90065443</v>
          </cell>
          <cell r="B1383">
            <v>3154.55</v>
          </cell>
        </row>
        <row r="1384">
          <cell r="A1384">
            <v>90065444</v>
          </cell>
          <cell r="B1384">
            <v>3461.84</v>
          </cell>
        </row>
        <row r="1385">
          <cell r="A1385">
            <v>90065445</v>
          </cell>
          <cell r="B1385">
            <v>3706.31</v>
          </cell>
        </row>
        <row r="1386">
          <cell r="A1386">
            <v>90065446</v>
          </cell>
          <cell r="B1386">
            <v>4810.92</v>
          </cell>
        </row>
        <row r="1387">
          <cell r="A1387">
            <v>90065447</v>
          </cell>
          <cell r="B1387">
            <v>6605.19</v>
          </cell>
        </row>
        <row r="1388">
          <cell r="A1388">
            <v>90065448</v>
          </cell>
          <cell r="B1388">
            <v>1129.27</v>
          </cell>
        </row>
        <row r="1389">
          <cell r="A1389">
            <v>90065449</v>
          </cell>
          <cell r="B1389">
            <v>1161.79</v>
          </cell>
        </row>
        <row r="1390">
          <cell r="A1390">
            <v>90065450</v>
          </cell>
          <cell r="B1390">
            <v>1430.93</v>
          </cell>
        </row>
        <row r="1391">
          <cell r="A1391">
            <v>90065451</v>
          </cell>
          <cell r="B1391">
            <v>1941.18</v>
          </cell>
        </row>
        <row r="1392">
          <cell r="A1392">
            <v>90065452</v>
          </cell>
          <cell r="B1392">
            <v>2063.42</v>
          </cell>
        </row>
        <row r="1393">
          <cell r="A1393">
            <v>90065453</v>
          </cell>
          <cell r="B1393">
            <v>2196.86</v>
          </cell>
        </row>
        <row r="1394">
          <cell r="A1394">
            <v>90065454</v>
          </cell>
          <cell r="B1394">
            <v>2411.0700000000002</v>
          </cell>
        </row>
        <row r="1395">
          <cell r="A1395">
            <v>90065455</v>
          </cell>
          <cell r="B1395">
            <v>2657.78</v>
          </cell>
        </row>
        <row r="1396">
          <cell r="A1396">
            <v>90065456</v>
          </cell>
          <cell r="B1396">
            <v>2888.79</v>
          </cell>
        </row>
        <row r="1397">
          <cell r="A1397">
            <v>90065457</v>
          </cell>
          <cell r="B1397">
            <v>3151.2</v>
          </cell>
        </row>
        <row r="1398">
          <cell r="A1398">
            <v>90053395</v>
          </cell>
          <cell r="B1398">
            <v>164.02</v>
          </cell>
        </row>
        <row r="1399">
          <cell r="A1399">
            <v>39300031</v>
          </cell>
          <cell r="B1399">
            <v>154.63</v>
          </cell>
        </row>
        <row r="1400">
          <cell r="A1400">
            <v>90053396</v>
          </cell>
          <cell r="B1400">
            <v>579.83000000000004</v>
          </cell>
        </row>
        <row r="1401">
          <cell r="A1401">
            <v>48837360</v>
          </cell>
          <cell r="B1401">
            <v>524.39</v>
          </cell>
        </row>
        <row r="1402">
          <cell r="A1402">
            <v>48837361</v>
          </cell>
          <cell r="B1402">
            <v>582.16</v>
          </cell>
        </row>
        <row r="1403">
          <cell r="A1403">
            <v>40984802</v>
          </cell>
          <cell r="B1403">
            <v>669.94</v>
          </cell>
        </row>
        <row r="1404">
          <cell r="A1404">
            <v>40984803</v>
          </cell>
          <cell r="B1404">
            <v>720.75</v>
          </cell>
        </row>
        <row r="1405">
          <cell r="A1405">
            <v>40984804</v>
          </cell>
          <cell r="B1405">
            <v>755.41</v>
          </cell>
        </row>
        <row r="1406">
          <cell r="A1406">
            <v>48837364</v>
          </cell>
          <cell r="B1406">
            <v>882.46</v>
          </cell>
        </row>
        <row r="1407">
          <cell r="A1407">
            <v>48837365</v>
          </cell>
          <cell r="B1407">
            <v>934.43</v>
          </cell>
        </row>
        <row r="1408">
          <cell r="A1408">
            <v>48837366</v>
          </cell>
          <cell r="B1408">
            <v>515.16999999999996</v>
          </cell>
        </row>
        <row r="1409">
          <cell r="A1409">
            <v>48837367</v>
          </cell>
          <cell r="B1409">
            <v>552.12</v>
          </cell>
        </row>
        <row r="1410">
          <cell r="A1410">
            <v>48837368</v>
          </cell>
          <cell r="B1410">
            <v>644.53</v>
          </cell>
        </row>
        <row r="1411">
          <cell r="A1411">
            <v>40984808</v>
          </cell>
          <cell r="B1411">
            <v>667.63</v>
          </cell>
        </row>
        <row r="1412">
          <cell r="A1412">
            <v>40984815</v>
          </cell>
          <cell r="B1412">
            <v>682.65</v>
          </cell>
        </row>
        <row r="1413">
          <cell r="A1413">
            <v>48837370</v>
          </cell>
          <cell r="B1413">
            <v>808.55</v>
          </cell>
        </row>
        <row r="1414">
          <cell r="A1414">
            <v>48837371</v>
          </cell>
          <cell r="B1414">
            <v>861.68</v>
          </cell>
        </row>
        <row r="1415">
          <cell r="A1415">
            <v>40981888</v>
          </cell>
          <cell r="B1415">
            <v>1000.3</v>
          </cell>
        </row>
        <row r="1416">
          <cell r="A1416">
            <v>29130437</v>
          </cell>
          <cell r="B1416">
            <v>1759.17</v>
          </cell>
        </row>
        <row r="1417">
          <cell r="A1417">
            <v>29130438</v>
          </cell>
          <cell r="B1417">
            <v>1969.38</v>
          </cell>
        </row>
        <row r="1418">
          <cell r="A1418">
            <v>29130062</v>
          </cell>
          <cell r="B1418">
            <v>687.26</v>
          </cell>
        </row>
        <row r="1419">
          <cell r="A1419">
            <v>29130063</v>
          </cell>
          <cell r="B1419">
            <v>717.3</v>
          </cell>
        </row>
        <row r="1420">
          <cell r="A1420">
            <v>29130064</v>
          </cell>
          <cell r="B1420">
            <v>761.18</v>
          </cell>
        </row>
        <row r="1421">
          <cell r="A1421">
            <v>29130065</v>
          </cell>
          <cell r="B1421">
            <v>621.42999999999995</v>
          </cell>
        </row>
        <row r="1422">
          <cell r="A1422">
            <v>29130066</v>
          </cell>
          <cell r="B1422">
            <v>650.29999999999995</v>
          </cell>
        </row>
        <row r="1423">
          <cell r="A1423">
            <v>29130067</v>
          </cell>
          <cell r="B1423">
            <v>694.2</v>
          </cell>
        </row>
        <row r="1424">
          <cell r="A1424">
            <v>42200727</v>
          </cell>
          <cell r="B1424">
            <v>44.45</v>
          </cell>
        </row>
        <row r="1425">
          <cell r="A1425">
            <v>39019788</v>
          </cell>
          <cell r="B1425">
            <v>8.07</v>
          </cell>
        </row>
        <row r="1426">
          <cell r="A1426">
            <v>1041318</v>
          </cell>
          <cell r="B1426">
            <v>15.02</v>
          </cell>
        </row>
        <row r="1427">
          <cell r="A1427">
            <v>240354</v>
          </cell>
          <cell r="B1427">
            <v>8.07</v>
          </cell>
        </row>
        <row r="1428">
          <cell r="A1428">
            <v>1063985</v>
          </cell>
          <cell r="B1428">
            <v>15.02</v>
          </cell>
        </row>
        <row r="1429">
          <cell r="A1429">
            <v>39019415</v>
          </cell>
          <cell r="B1429">
            <v>8.07</v>
          </cell>
        </row>
        <row r="1430">
          <cell r="A1430">
            <v>39019530</v>
          </cell>
          <cell r="B1430">
            <v>11.54</v>
          </cell>
        </row>
        <row r="1431">
          <cell r="A1431">
            <v>40980710</v>
          </cell>
          <cell r="B1431">
            <v>18.48</v>
          </cell>
        </row>
        <row r="1432">
          <cell r="A1432">
            <v>40980203</v>
          </cell>
          <cell r="B1432">
            <v>69.3</v>
          </cell>
        </row>
        <row r="1433">
          <cell r="A1433">
            <v>40980204</v>
          </cell>
          <cell r="B1433">
            <v>73.92</v>
          </cell>
        </row>
        <row r="1434">
          <cell r="A1434">
            <v>18040868</v>
          </cell>
          <cell r="B1434">
            <v>112.04</v>
          </cell>
        </row>
        <row r="1435">
          <cell r="A1435">
            <v>1068052</v>
          </cell>
          <cell r="B1435">
            <v>58.91</v>
          </cell>
        </row>
        <row r="1436">
          <cell r="A1436">
            <v>1076873</v>
          </cell>
          <cell r="B1436">
            <v>33.49</v>
          </cell>
        </row>
        <row r="1437">
          <cell r="A1437">
            <v>11037848</v>
          </cell>
          <cell r="B1437">
            <v>9.25</v>
          </cell>
        </row>
        <row r="1438">
          <cell r="A1438">
            <v>19071460</v>
          </cell>
          <cell r="B1438">
            <v>33.49</v>
          </cell>
        </row>
        <row r="1439">
          <cell r="A1439">
            <v>11037759</v>
          </cell>
          <cell r="B1439">
            <v>60.07</v>
          </cell>
        </row>
        <row r="1440">
          <cell r="A1440">
            <v>11037760</v>
          </cell>
          <cell r="B1440">
            <v>64.69</v>
          </cell>
        </row>
        <row r="1441">
          <cell r="A1441">
            <v>1076688</v>
          </cell>
          <cell r="B1441">
            <v>12.72</v>
          </cell>
        </row>
        <row r="1442">
          <cell r="A1442">
            <v>11037177</v>
          </cell>
          <cell r="B1442">
            <v>25.4</v>
          </cell>
        </row>
        <row r="1443">
          <cell r="A1443">
            <v>18040795</v>
          </cell>
          <cell r="B1443">
            <v>107.43</v>
          </cell>
        </row>
        <row r="1444">
          <cell r="A1444">
            <v>18040796</v>
          </cell>
          <cell r="B1444">
            <v>116.67</v>
          </cell>
        </row>
        <row r="1445">
          <cell r="A1445">
            <v>18040802</v>
          </cell>
          <cell r="B1445">
            <v>77.400000000000006</v>
          </cell>
        </row>
        <row r="1446">
          <cell r="A1446">
            <v>1068180</v>
          </cell>
          <cell r="B1446">
            <v>36.97</v>
          </cell>
        </row>
        <row r="1447">
          <cell r="A1447">
            <v>29127257</v>
          </cell>
          <cell r="B1447">
            <v>503.62</v>
          </cell>
        </row>
        <row r="1448">
          <cell r="A1448">
            <v>116025</v>
          </cell>
          <cell r="B1448">
            <v>94.48</v>
          </cell>
        </row>
        <row r="1449">
          <cell r="A1449">
            <v>39019517</v>
          </cell>
          <cell r="B1449">
            <v>59.88</v>
          </cell>
        </row>
        <row r="1450">
          <cell r="A1450">
            <v>534217</v>
          </cell>
          <cell r="B1450">
            <v>153.63</v>
          </cell>
        </row>
        <row r="1451">
          <cell r="A1451">
            <v>29130422</v>
          </cell>
          <cell r="B1451">
            <v>200.97</v>
          </cell>
        </row>
        <row r="1452">
          <cell r="A1452">
            <v>90053396</v>
          </cell>
          <cell r="B1452">
            <v>579.83000000000004</v>
          </cell>
        </row>
        <row r="1453">
          <cell r="A1453">
            <v>90053395</v>
          </cell>
          <cell r="B1453">
            <v>164.02</v>
          </cell>
        </row>
        <row r="1454">
          <cell r="A1454">
            <v>39300031</v>
          </cell>
          <cell r="B1454">
            <v>154.63</v>
          </cell>
        </row>
        <row r="1455">
          <cell r="A1455">
            <v>19071802</v>
          </cell>
          <cell r="B1455">
            <v>16.170000000000002</v>
          </cell>
        </row>
        <row r="1456">
          <cell r="A1456">
            <v>19071803</v>
          </cell>
          <cell r="B1456">
            <v>30.04</v>
          </cell>
        </row>
        <row r="1457">
          <cell r="A1457">
            <v>18040846</v>
          </cell>
          <cell r="B1457">
            <v>296.7</v>
          </cell>
        </row>
        <row r="1458">
          <cell r="A1458">
            <v>90052823</v>
          </cell>
          <cell r="B1458">
            <v>55.45</v>
          </cell>
        </row>
        <row r="1459">
          <cell r="A1459">
            <v>90050611</v>
          </cell>
          <cell r="B1459">
            <v>283</v>
          </cell>
        </row>
        <row r="1460">
          <cell r="A1460">
            <v>95000220</v>
          </cell>
          <cell r="B1460">
            <v>310.70999999999998</v>
          </cell>
        </row>
        <row r="1461">
          <cell r="A1461">
            <v>95000290</v>
          </cell>
          <cell r="B1461">
            <v>67.010000000000005</v>
          </cell>
        </row>
        <row r="1462">
          <cell r="A1462">
            <v>95000294</v>
          </cell>
          <cell r="B1462">
            <v>70.47</v>
          </cell>
        </row>
        <row r="1463">
          <cell r="A1463">
            <v>40980709</v>
          </cell>
          <cell r="B1463">
            <v>1.1599999999999999</v>
          </cell>
        </row>
        <row r="1464">
          <cell r="A1464">
            <v>90068174</v>
          </cell>
          <cell r="B1464">
            <v>5.52</v>
          </cell>
        </row>
        <row r="1465">
          <cell r="A1465">
            <v>90068175</v>
          </cell>
          <cell r="B1465">
            <v>7.78</v>
          </cell>
        </row>
        <row r="1466">
          <cell r="A1466">
            <v>90068176</v>
          </cell>
          <cell r="B1466">
            <v>10.11</v>
          </cell>
        </row>
        <row r="1467">
          <cell r="A1467">
            <v>90033494</v>
          </cell>
          <cell r="B1467">
            <v>174.06</v>
          </cell>
        </row>
        <row r="1468">
          <cell r="A1468">
            <v>90039543</v>
          </cell>
          <cell r="B1468">
            <v>220.2</v>
          </cell>
        </row>
        <row r="1469">
          <cell r="A1469">
            <v>40980058</v>
          </cell>
          <cell r="B1469">
            <v>28.88</v>
          </cell>
        </row>
        <row r="1470">
          <cell r="A1470">
            <v>40980708</v>
          </cell>
          <cell r="B1470">
            <v>68.150000000000006</v>
          </cell>
        </row>
        <row r="1471">
          <cell r="A1471">
            <v>39020537</v>
          </cell>
          <cell r="B1471">
            <v>50.81</v>
          </cell>
        </row>
        <row r="1472">
          <cell r="A1472">
            <v>39020536</v>
          </cell>
          <cell r="B1472">
            <v>82</v>
          </cell>
        </row>
        <row r="1473">
          <cell r="A1473">
            <v>90009554</v>
          </cell>
          <cell r="B1473">
            <v>251.77</v>
          </cell>
        </row>
        <row r="1474">
          <cell r="A1474">
            <v>90009553</v>
          </cell>
          <cell r="B1474">
            <v>261.54000000000002</v>
          </cell>
        </row>
        <row r="1475">
          <cell r="A1475">
            <v>1096713</v>
          </cell>
          <cell r="B1475">
            <v>2.11</v>
          </cell>
        </row>
        <row r="1476">
          <cell r="A1476">
            <v>40980887</v>
          </cell>
          <cell r="B1476">
            <v>458.57</v>
          </cell>
        </row>
        <row r="1477">
          <cell r="A1477">
            <v>40980889</v>
          </cell>
          <cell r="B1477">
            <v>458.57</v>
          </cell>
        </row>
        <row r="1478">
          <cell r="A1478">
            <v>40980891</v>
          </cell>
          <cell r="B1478">
            <v>458.57</v>
          </cell>
        </row>
        <row r="1479">
          <cell r="A1479">
            <v>40980893</v>
          </cell>
          <cell r="B1479">
            <v>458.57</v>
          </cell>
        </row>
        <row r="1480">
          <cell r="A1480">
            <v>40980895</v>
          </cell>
          <cell r="B1480">
            <v>458.57</v>
          </cell>
        </row>
        <row r="1481">
          <cell r="A1481">
            <v>40980897</v>
          </cell>
          <cell r="B1481">
            <v>458.57</v>
          </cell>
        </row>
        <row r="1482">
          <cell r="A1482">
            <v>40980899</v>
          </cell>
          <cell r="B1482">
            <v>458.57</v>
          </cell>
        </row>
        <row r="1483">
          <cell r="A1483">
            <v>40984811</v>
          </cell>
          <cell r="B1483">
            <v>458.57</v>
          </cell>
        </row>
        <row r="1484">
          <cell r="A1484">
            <v>90052649</v>
          </cell>
          <cell r="B1484">
            <v>500.14</v>
          </cell>
        </row>
        <row r="1485">
          <cell r="A1485">
            <v>533291</v>
          </cell>
          <cell r="B1485">
            <v>40.43</v>
          </cell>
        </row>
        <row r="1486">
          <cell r="A1486">
            <v>533299</v>
          </cell>
          <cell r="B1486">
            <v>101.66</v>
          </cell>
        </row>
        <row r="1487">
          <cell r="A1487">
            <v>531100</v>
          </cell>
          <cell r="B1487">
            <v>93.55</v>
          </cell>
        </row>
        <row r="1488">
          <cell r="A1488">
            <v>40980055</v>
          </cell>
          <cell r="B1488">
            <v>65.83</v>
          </cell>
        </row>
        <row r="1489">
          <cell r="A1489">
            <v>40980056</v>
          </cell>
          <cell r="B1489">
            <v>24.26</v>
          </cell>
        </row>
        <row r="1490">
          <cell r="A1490">
            <v>42200727</v>
          </cell>
          <cell r="B1490">
            <v>44.45</v>
          </cell>
        </row>
        <row r="1491">
          <cell r="A1491">
            <v>42204021</v>
          </cell>
          <cell r="B1491">
            <v>97.31</v>
          </cell>
        </row>
        <row r="1492">
          <cell r="A1492">
            <v>90053395</v>
          </cell>
          <cell r="B1492">
            <v>164.02</v>
          </cell>
        </row>
        <row r="1493">
          <cell r="A1493">
            <v>39300031</v>
          </cell>
          <cell r="B1493">
            <v>154.63</v>
          </cell>
        </row>
        <row r="1494">
          <cell r="A1494">
            <v>90053396</v>
          </cell>
          <cell r="B1494">
            <v>579.83000000000004</v>
          </cell>
        </row>
        <row r="1495">
          <cell r="A1495">
            <v>90065490</v>
          </cell>
          <cell r="B1495">
            <v>133.11000000000001</v>
          </cell>
        </row>
        <row r="1496">
          <cell r="A1496">
            <v>90065491</v>
          </cell>
          <cell r="B1496">
            <v>144.86000000000001</v>
          </cell>
        </row>
        <row r="1497">
          <cell r="A1497">
            <v>90065492</v>
          </cell>
          <cell r="B1497">
            <v>152.47</v>
          </cell>
        </row>
        <row r="1498">
          <cell r="A1498">
            <v>90065493</v>
          </cell>
          <cell r="B1498">
            <v>159.04</v>
          </cell>
        </row>
        <row r="1499">
          <cell r="A1499">
            <v>90065494</v>
          </cell>
          <cell r="B1499">
            <v>86.78</v>
          </cell>
        </row>
        <row r="1500">
          <cell r="A1500">
            <v>90065495</v>
          </cell>
          <cell r="B1500">
            <v>120.31</v>
          </cell>
        </row>
        <row r="1501">
          <cell r="A1501">
            <v>90066478</v>
          </cell>
          <cell r="B1501">
            <v>133.11000000000001</v>
          </cell>
        </row>
        <row r="1502">
          <cell r="A1502">
            <v>90066479</v>
          </cell>
          <cell r="B1502">
            <v>144.86000000000001</v>
          </cell>
        </row>
        <row r="1503">
          <cell r="A1503">
            <v>90066480</v>
          </cell>
          <cell r="B1503">
            <v>152.47</v>
          </cell>
        </row>
        <row r="1504">
          <cell r="A1504">
            <v>90066481</v>
          </cell>
          <cell r="B1504">
            <v>159.04</v>
          </cell>
        </row>
        <row r="1505">
          <cell r="A1505">
            <v>90066482</v>
          </cell>
          <cell r="B1505">
            <v>191.21</v>
          </cell>
        </row>
        <row r="1506">
          <cell r="A1506">
            <v>90066483</v>
          </cell>
          <cell r="B1506">
            <v>120.31</v>
          </cell>
        </row>
        <row r="1507">
          <cell r="A1507">
            <v>90066484</v>
          </cell>
          <cell r="B1507">
            <v>168.38</v>
          </cell>
        </row>
        <row r="1508">
          <cell r="A1508">
            <v>39020740</v>
          </cell>
          <cell r="B1508">
            <v>19.63</v>
          </cell>
        </row>
        <row r="1509">
          <cell r="A1509">
            <v>39020741</v>
          </cell>
          <cell r="B1509">
            <v>26.57</v>
          </cell>
        </row>
        <row r="1510">
          <cell r="A1510">
            <v>39021157</v>
          </cell>
          <cell r="B1510">
            <v>62.37</v>
          </cell>
        </row>
        <row r="1511">
          <cell r="A1511">
            <v>39021158</v>
          </cell>
          <cell r="B1511">
            <v>70.47</v>
          </cell>
        </row>
        <row r="1512">
          <cell r="A1512">
            <v>95000220</v>
          </cell>
          <cell r="B1512">
            <v>310.70999999999998</v>
          </cell>
        </row>
        <row r="1513">
          <cell r="A1513">
            <v>95000221</v>
          </cell>
          <cell r="B1513">
            <v>373.09</v>
          </cell>
        </row>
        <row r="1514">
          <cell r="A1514">
            <v>95000232</v>
          </cell>
          <cell r="B1514">
            <v>285.3</v>
          </cell>
        </row>
        <row r="1515">
          <cell r="A1515">
            <v>95000233</v>
          </cell>
          <cell r="B1515">
            <v>455.1</v>
          </cell>
        </row>
        <row r="1516">
          <cell r="A1516">
            <v>95000294</v>
          </cell>
          <cell r="B1516">
            <v>70.47</v>
          </cell>
        </row>
        <row r="1517">
          <cell r="A1517">
            <v>95000298</v>
          </cell>
          <cell r="B1517">
            <v>72.77</v>
          </cell>
        </row>
        <row r="1518">
          <cell r="A1518">
            <v>90052159</v>
          </cell>
          <cell r="B1518">
            <v>299.12</v>
          </cell>
        </row>
        <row r="1519">
          <cell r="A1519">
            <v>90052160</v>
          </cell>
          <cell r="B1519">
            <v>324.33999999999997</v>
          </cell>
        </row>
        <row r="1520">
          <cell r="A1520">
            <v>90043540</v>
          </cell>
          <cell r="B1520">
            <v>58.91</v>
          </cell>
        </row>
        <row r="1521">
          <cell r="A1521">
            <v>1088095</v>
          </cell>
          <cell r="B1521">
            <v>3.47</v>
          </cell>
        </row>
        <row r="1522">
          <cell r="A1522">
            <v>90068174</v>
          </cell>
          <cell r="B1522">
            <v>5.52</v>
          </cell>
        </row>
        <row r="1523">
          <cell r="A1523">
            <v>90068175</v>
          </cell>
          <cell r="B1523">
            <v>7.78</v>
          </cell>
        </row>
        <row r="1524">
          <cell r="A1524">
            <v>90068176</v>
          </cell>
          <cell r="B1524">
            <v>10.11</v>
          </cell>
        </row>
        <row r="1525">
          <cell r="A1525">
            <v>90068177</v>
          </cell>
          <cell r="B1525">
            <v>14.63</v>
          </cell>
        </row>
        <row r="1526">
          <cell r="A1526">
            <v>90068178</v>
          </cell>
          <cell r="B1526">
            <v>24.68</v>
          </cell>
        </row>
        <row r="1527">
          <cell r="A1527">
            <v>90068179</v>
          </cell>
          <cell r="B1527">
            <v>34.020000000000003</v>
          </cell>
        </row>
        <row r="1528">
          <cell r="A1528">
            <v>90068148</v>
          </cell>
          <cell r="B1528">
            <v>4.63</v>
          </cell>
        </row>
        <row r="1529">
          <cell r="A1529">
            <v>90068149</v>
          </cell>
          <cell r="B1529">
            <v>7.2</v>
          </cell>
        </row>
        <row r="1530">
          <cell r="A1530">
            <v>90068150</v>
          </cell>
          <cell r="B1530">
            <v>9.25</v>
          </cell>
        </row>
        <row r="1531">
          <cell r="A1531">
            <v>90068151</v>
          </cell>
          <cell r="B1531">
            <v>12.34</v>
          </cell>
        </row>
        <row r="1532">
          <cell r="A1532">
            <v>90068152</v>
          </cell>
          <cell r="B1532">
            <v>18.809999999999999</v>
          </cell>
        </row>
        <row r="1533">
          <cell r="A1533">
            <v>90068153</v>
          </cell>
          <cell r="B1533">
            <v>28.29</v>
          </cell>
        </row>
        <row r="1534">
          <cell r="A1534">
            <v>90033494</v>
          </cell>
          <cell r="B1534">
            <v>174.06</v>
          </cell>
        </row>
        <row r="1535">
          <cell r="A1535">
            <v>90039543</v>
          </cell>
          <cell r="B1535">
            <v>220.2</v>
          </cell>
        </row>
        <row r="1536">
          <cell r="A1536">
            <v>117947</v>
          </cell>
          <cell r="B1536">
            <v>38.130000000000003</v>
          </cell>
        </row>
        <row r="1537">
          <cell r="A1537">
            <v>1025739</v>
          </cell>
          <cell r="B1537">
            <v>41.58</v>
          </cell>
        </row>
        <row r="1538">
          <cell r="A1538">
            <v>117792</v>
          </cell>
          <cell r="B1538">
            <v>49.67</v>
          </cell>
        </row>
        <row r="1539">
          <cell r="A1539">
            <v>90068166</v>
          </cell>
          <cell r="B1539">
            <v>125.26</v>
          </cell>
        </row>
        <row r="1540">
          <cell r="A1540">
            <v>90068167</v>
          </cell>
          <cell r="B1540">
            <v>152.66</v>
          </cell>
        </row>
        <row r="1541">
          <cell r="A1541">
            <v>90068168</v>
          </cell>
          <cell r="B1541">
            <v>180.05</v>
          </cell>
        </row>
        <row r="1542">
          <cell r="A1542">
            <v>90068169</v>
          </cell>
          <cell r="B1542">
            <v>207.45</v>
          </cell>
        </row>
        <row r="1543">
          <cell r="A1543">
            <v>90068170</v>
          </cell>
          <cell r="B1543">
            <v>234.85</v>
          </cell>
        </row>
        <row r="1544">
          <cell r="A1544">
            <v>90068171</v>
          </cell>
          <cell r="B1544">
            <v>262.19</v>
          </cell>
        </row>
        <row r="1545">
          <cell r="A1545">
            <v>90068172</v>
          </cell>
          <cell r="B1545">
            <v>289.58999999999997</v>
          </cell>
        </row>
        <row r="1546">
          <cell r="A1546">
            <v>90068173</v>
          </cell>
          <cell r="B1546">
            <v>316.98</v>
          </cell>
        </row>
        <row r="1547">
          <cell r="A1547">
            <v>95005106</v>
          </cell>
          <cell r="B1547">
            <v>47.48</v>
          </cell>
        </row>
        <row r="1548">
          <cell r="A1548">
            <v>90049385</v>
          </cell>
          <cell r="B1548">
            <v>100.66</v>
          </cell>
        </row>
        <row r="1549">
          <cell r="A1549">
            <v>90049397</v>
          </cell>
          <cell r="B1549">
            <v>113.54</v>
          </cell>
        </row>
        <row r="1550">
          <cell r="A1550">
            <v>90049387</v>
          </cell>
          <cell r="B1550">
            <v>190.54</v>
          </cell>
        </row>
        <row r="1551">
          <cell r="A1551">
            <v>90049399</v>
          </cell>
          <cell r="B1551">
            <v>229.11</v>
          </cell>
        </row>
        <row r="1552">
          <cell r="A1552">
            <v>90049400</v>
          </cell>
          <cell r="B1552">
            <v>131.41999999999999</v>
          </cell>
        </row>
        <row r="1553">
          <cell r="A1553">
            <v>90049389</v>
          </cell>
          <cell r="B1553">
            <v>318.82</v>
          </cell>
        </row>
        <row r="1554">
          <cell r="A1554">
            <v>90049390</v>
          </cell>
          <cell r="B1554">
            <v>221.13</v>
          </cell>
        </row>
        <row r="1555">
          <cell r="A1555">
            <v>90009554</v>
          </cell>
          <cell r="B1555">
            <v>251.77</v>
          </cell>
        </row>
        <row r="1556">
          <cell r="A1556">
            <v>90009553</v>
          </cell>
          <cell r="B1556">
            <v>261.54000000000002</v>
          </cell>
        </row>
        <row r="1557">
          <cell r="A1557">
            <v>1046306</v>
          </cell>
          <cell r="B1557">
            <v>2.11</v>
          </cell>
        </row>
        <row r="1558">
          <cell r="A1558">
            <v>40980891</v>
          </cell>
          <cell r="B1558">
            <v>458.57</v>
          </cell>
        </row>
        <row r="1559">
          <cell r="A1559">
            <v>40980895</v>
          </cell>
          <cell r="B1559">
            <v>458.57</v>
          </cell>
        </row>
        <row r="1560">
          <cell r="A1560">
            <v>40980897</v>
          </cell>
          <cell r="B1560">
            <v>458.57</v>
          </cell>
        </row>
        <row r="1561">
          <cell r="A1561">
            <v>40980897</v>
          </cell>
          <cell r="B1561">
            <v>458.57</v>
          </cell>
        </row>
        <row r="1562">
          <cell r="A1562">
            <v>40984811</v>
          </cell>
          <cell r="B1562">
            <v>458.57</v>
          </cell>
        </row>
        <row r="1563">
          <cell r="A1563">
            <v>90052649</v>
          </cell>
          <cell r="B1563">
            <v>500.14</v>
          </cell>
        </row>
        <row r="1564">
          <cell r="A1564">
            <v>90052649</v>
          </cell>
          <cell r="B1564">
            <v>500.14</v>
          </cell>
        </row>
        <row r="1565">
          <cell r="A1565">
            <v>90052650</v>
          </cell>
          <cell r="B1565">
            <v>500.14</v>
          </cell>
        </row>
        <row r="1566">
          <cell r="A1566">
            <v>1046306</v>
          </cell>
          <cell r="B1566">
            <v>2.11</v>
          </cell>
        </row>
        <row r="1567">
          <cell r="A1567">
            <v>533299</v>
          </cell>
          <cell r="B1567">
            <v>101.66</v>
          </cell>
        </row>
        <row r="1568">
          <cell r="A1568">
            <v>29130399</v>
          </cell>
          <cell r="B1568">
            <v>1771.87</v>
          </cell>
        </row>
        <row r="1569">
          <cell r="A1569">
            <v>29130821</v>
          </cell>
          <cell r="B1569">
            <v>1771.87</v>
          </cell>
        </row>
        <row r="1570">
          <cell r="A1570">
            <v>29130473</v>
          </cell>
          <cell r="B1570">
            <v>5393.01</v>
          </cell>
        </row>
        <row r="1571">
          <cell r="A1571">
            <v>29130474</v>
          </cell>
          <cell r="B1571">
            <v>5509.67</v>
          </cell>
        </row>
        <row r="1572">
          <cell r="A1572">
            <v>29130475</v>
          </cell>
          <cell r="B1572">
            <v>5700.26</v>
          </cell>
        </row>
        <row r="1573">
          <cell r="A1573">
            <v>29130476</v>
          </cell>
          <cell r="B1573">
            <v>5837.71</v>
          </cell>
        </row>
        <row r="1574">
          <cell r="A1574">
            <v>29130477</v>
          </cell>
          <cell r="B1574">
            <v>6032.92</v>
          </cell>
        </row>
        <row r="1575">
          <cell r="A1575">
            <v>29130478</v>
          </cell>
          <cell r="B1575">
            <v>6233.89</v>
          </cell>
        </row>
        <row r="1576">
          <cell r="A1576">
            <v>29130485</v>
          </cell>
          <cell r="B1576">
            <v>5980.93</v>
          </cell>
        </row>
        <row r="1577">
          <cell r="A1577">
            <v>29130486</v>
          </cell>
          <cell r="B1577">
            <v>6217.72</v>
          </cell>
        </row>
        <row r="1578">
          <cell r="A1578">
            <v>29130487</v>
          </cell>
          <cell r="B1578">
            <v>6300.89</v>
          </cell>
        </row>
        <row r="1579">
          <cell r="A1579">
            <v>29130488</v>
          </cell>
          <cell r="B1579">
            <v>6359.8</v>
          </cell>
        </row>
        <row r="1580">
          <cell r="A1580">
            <v>29130489</v>
          </cell>
          <cell r="B1580">
            <v>6529.59</v>
          </cell>
        </row>
        <row r="1581">
          <cell r="A1581">
            <v>29130479</v>
          </cell>
          <cell r="B1581">
            <v>7559.91</v>
          </cell>
        </row>
        <row r="1582">
          <cell r="A1582">
            <v>29130480</v>
          </cell>
          <cell r="B1582">
            <v>7737.8</v>
          </cell>
        </row>
        <row r="1583">
          <cell r="A1583">
            <v>29130481</v>
          </cell>
          <cell r="B1583">
            <v>8020.8</v>
          </cell>
        </row>
        <row r="1584">
          <cell r="A1584">
            <v>29130482</v>
          </cell>
          <cell r="B1584">
            <v>8228.7000000000007</v>
          </cell>
        </row>
        <row r="1585">
          <cell r="A1585">
            <v>29130483</v>
          </cell>
          <cell r="B1585">
            <v>8339.58</v>
          </cell>
        </row>
        <row r="1586">
          <cell r="A1586">
            <v>29130484</v>
          </cell>
          <cell r="B1586">
            <v>8830.49</v>
          </cell>
        </row>
        <row r="1587">
          <cell r="A1587">
            <v>29130490</v>
          </cell>
          <cell r="B1587">
            <v>8444.69</v>
          </cell>
        </row>
        <row r="1588">
          <cell r="A1588">
            <v>29130491</v>
          </cell>
          <cell r="B1588">
            <v>8800.4599999999991</v>
          </cell>
        </row>
        <row r="1589">
          <cell r="A1589">
            <v>29130492</v>
          </cell>
          <cell r="B1589">
            <v>9276.35</v>
          </cell>
        </row>
        <row r="1590">
          <cell r="A1590">
            <v>29130493</v>
          </cell>
          <cell r="B1590">
            <v>9751.08</v>
          </cell>
        </row>
        <row r="1591">
          <cell r="A1591">
            <v>29130494</v>
          </cell>
          <cell r="B1591">
            <v>10965.06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tzale" refreshedDate="42481.408057175926" createdVersion="4" refreshedVersion="4" minRefreshableVersion="3" recordCount="123">
  <cacheSource type="worksheet">
    <worksheetSource ref="F96:I219" sheet="kalk"/>
  </cacheSource>
  <cacheFields count="4">
    <cacheField name="Anlage" numFmtId="0">
      <sharedItems count="28">
        <s v="U1.060"/>
        <s v="U1.100"/>
        <s v="U2.100"/>
        <s v="U3.100"/>
        <s v="U4.100"/>
        <s v="U5.100"/>
        <s v="U3.300"/>
        <s v="U4.300"/>
        <s v="U5.300"/>
        <s v="UZ1.150"/>
        <s v="UZ2.150"/>
        <s v="UZ3.150"/>
        <s v="UZ4.150"/>
        <s v="UZ5.150"/>
        <s v="UZ3.300"/>
        <s v="UZ4.300"/>
        <s v="UZ5.300"/>
        <s v="UZ3.450"/>
        <s v="UZ4.450"/>
        <s v="UZ5.450"/>
        <s v="UZ3.900"/>
        <s v="UZ4.900"/>
        <s v="UZ5.900"/>
        <s v="US1.040"/>
        <s v="US1.100"/>
        <s v="US2.100"/>
        <s v="UZS1.150"/>
        <s v="UZS2.150"/>
      </sharedItems>
    </cacheField>
    <cacheField name="Nutzvolumen" numFmtId="0">
      <sharedItems containsMixedTypes="1" containsNumber="1" containsInteger="1" minValue="10" maxValue="580"/>
    </cacheField>
    <cacheField name="ldl_max" numFmtId="0">
      <sharedItems containsMixedTypes="1" containsNumber="1" minValue="5.0929581789406511" maxValue="295.39157437855772"/>
    </cacheField>
    <cacheField name="Anschlußhöhe" numFmtId="0">
      <sharedItems containsMixedTypes="1" containsNumber="1" containsInteger="1" minValue="180" maxValue="700" count="5">
        <n v="180"/>
        <n v="250"/>
        <n v="320"/>
        <s v="vertikal"/>
        <n v="7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3">
  <r>
    <x v="0"/>
    <n v="20"/>
    <n v="10.185916357881302"/>
    <x v="0"/>
  </r>
  <r>
    <x v="0"/>
    <s v="nv"/>
    <s v="n.v"/>
    <x v="1"/>
  </r>
  <r>
    <x v="0"/>
    <s v="nv"/>
    <s v="n.v"/>
    <x v="2"/>
  </r>
  <r>
    <x v="0"/>
    <n v="30"/>
    <n v="15.278874536821954"/>
    <x v="3"/>
  </r>
  <r>
    <x v="1"/>
    <n v="30"/>
    <n v="15.278874536821954"/>
    <x v="0"/>
  </r>
  <r>
    <x v="1"/>
    <n v="44"/>
    <n v="22.409015987338865"/>
    <x v="1"/>
  </r>
  <r>
    <x v="1"/>
    <s v="nv"/>
    <s v="n.v"/>
    <x v="2"/>
  </r>
  <r>
    <x v="1"/>
    <n v="62"/>
    <n v="31.576340709432039"/>
    <x v="3"/>
  </r>
  <r>
    <x v="2"/>
    <n v="30"/>
    <n v="15.278874536821954"/>
    <x v="0"/>
  </r>
  <r>
    <x v="2"/>
    <n v="44"/>
    <n v="22.409015987338865"/>
    <x v="1"/>
  </r>
  <r>
    <x v="2"/>
    <s v="nv"/>
    <s v="n.v"/>
    <x v="2"/>
  </r>
  <r>
    <x v="2"/>
    <n v="62"/>
    <n v="31.576340709432039"/>
    <x v="3"/>
  </r>
  <r>
    <x v="3"/>
    <s v="nv"/>
    <s v="n.v"/>
    <x v="0"/>
  </r>
  <r>
    <x v="3"/>
    <n v="38"/>
    <n v="19.353241079974474"/>
    <x v="1"/>
  </r>
  <r>
    <x v="3"/>
    <s v="nv"/>
    <s v="n.v"/>
    <x v="2"/>
  </r>
  <r>
    <x v="3"/>
    <n v="58"/>
    <n v="29.539157437855778"/>
    <x v="3"/>
  </r>
  <r>
    <x v="4"/>
    <s v="nv"/>
    <s v="n.v"/>
    <x v="0"/>
  </r>
  <r>
    <x v="4"/>
    <n v="38"/>
    <n v="19.353241079974474"/>
    <x v="1"/>
  </r>
  <r>
    <x v="4"/>
    <s v="nv"/>
    <s v="n.v"/>
    <x v="2"/>
  </r>
  <r>
    <x v="4"/>
    <n v="58"/>
    <n v="29.539157437855778"/>
    <x v="3"/>
  </r>
  <r>
    <x v="5"/>
    <s v="nv"/>
    <s v="n.v"/>
    <x v="0"/>
  </r>
  <r>
    <x v="5"/>
    <n v="38"/>
    <n v="19.353241079974474"/>
    <x v="1"/>
  </r>
  <r>
    <x v="5"/>
    <s v="nv"/>
    <s v="n.v"/>
    <x v="2"/>
  </r>
  <r>
    <x v="5"/>
    <n v="58"/>
    <n v="29.539157437855778"/>
    <x v="3"/>
  </r>
  <r>
    <x v="6"/>
    <s v="nv"/>
    <s v="n.v"/>
    <x v="0"/>
  </r>
  <r>
    <x v="6"/>
    <n v="113"/>
    <n v="57.550427422029358"/>
    <x v="1"/>
  </r>
  <r>
    <x v="6"/>
    <n v="113"/>
    <n v="57.550427422029358"/>
    <x v="2"/>
  </r>
  <r>
    <x v="6"/>
    <n v="133"/>
    <n v="67.736343779910655"/>
    <x v="3"/>
  </r>
  <r>
    <x v="7"/>
    <s v="nv"/>
    <s v="n.v"/>
    <x v="0"/>
  </r>
  <r>
    <x v="7"/>
    <n v="113"/>
    <n v="57.550427422029358"/>
    <x v="1"/>
  </r>
  <r>
    <x v="7"/>
    <n v="113"/>
    <n v="57.550427422029358"/>
    <x v="2"/>
  </r>
  <r>
    <x v="7"/>
    <n v="133"/>
    <n v="67.736343779910655"/>
    <x v="3"/>
  </r>
  <r>
    <x v="8"/>
    <s v="nv"/>
    <s v="n.v"/>
    <x v="0"/>
  </r>
  <r>
    <x v="8"/>
    <n v="113"/>
    <n v="57.550427422029358"/>
    <x v="1"/>
  </r>
  <r>
    <x v="8"/>
    <n v="113"/>
    <n v="57.550427422029358"/>
    <x v="2"/>
  </r>
  <r>
    <x v="8"/>
    <n v="133"/>
    <n v="67.736343779910655"/>
    <x v="3"/>
  </r>
  <r>
    <x v="9"/>
    <n v="57"/>
    <n v="29.029861619961714"/>
    <x v="0"/>
  </r>
  <r>
    <x v="9"/>
    <n v="83"/>
    <n v="42.271552885207406"/>
    <x v="1"/>
  </r>
  <r>
    <x v="9"/>
    <s v="nv"/>
    <s v="n.v"/>
    <x v="2"/>
  </r>
  <r>
    <x v="9"/>
    <n v="91"/>
    <n v="46.34591942835992"/>
    <x v="3"/>
  </r>
  <r>
    <x v="10"/>
    <n v="57"/>
    <n v="29.029861619961714"/>
    <x v="0"/>
  </r>
  <r>
    <x v="10"/>
    <n v="83"/>
    <n v="42.271552885207406"/>
    <x v="1"/>
  </r>
  <r>
    <x v="10"/>
    <s v="nv"/>
    <s v="n.v"/>
    <x v="2"/>
  </r>
  <r>
    <x v="10"/>
    <n v="91"/>
    <n v="46.34591942835992"/>
    <x v="3"/>
  </r>
  <r>
    <x v="11"/>
    <s v="nv"/>
    <s v="n.v"/>
    <x v="0"/>
  </r>
  <r>
    <x v="11"/>
    <n v="65"/>
    <n v="33.104228163114229"/>
    <x v="1"/>
  </r>
  <r>
    <x v="11"/>
    <s v="nv"/>
    <s v="n.v"/>
    <x v="2"/>
  </r>
  <r>
    <x v="11"/>
    <n v="75"/>
    <n v="38.197186342054877"/>
    <x v="3"/>
  </r>
  <r>
    <x v="12"/>
    <s v="nv"/>
    <s v="n.v"/>
    <x v="0"/>
  </r>
  <r>
    <x v="12"/>
    <n v="65"/>
    <n v="33.104228163114229"/>
    <x v="1"/>
  </r>
  <r>
    <x v="12"/>
    <s v="nv"/>
    <s v="n.v"/>
    <x v="2"/>
  </r>
  <r>
    <x v="12"/>
    <n v="75"/>
    <n v="38.197186342054877"/>
    <x v="3"/>
  </r>
  <r>
    <x v="13"/>
    <s v="nv"/>
    <s v="n.v"/>
    <x v="0"/>
  </r>
  <r>
    <x v="13"/>
    <n v="65"/>
    <n v="33.104228163114229"/>
    <x v="1"/>
  </r>
  <r>
    <x v="13"/>
    <s v="nv"/>
    <s v="n.v"/>
    <x v="2"/>
  </r>
  <r>
    <x v="13"/>
    <n v="75"/>
    <n v="38.197186342054877"/>
    <x v="3"/>
  </r>
  <r>
    <x v="14"/>
    <s v="nv"/>
    <s v="n.v"/>
    <x v="0"/>
  </r>
  <r>
    <x v="14"/>
    <n v="113"/>
    <n v="57.550427422029358"/>
    <x v="1"/>
  </r>
  <r>
    <x v="14"/>
    <n v="113"/>
    <n v="57.550427422029358"/>
    <x v="2"/>
  </r>
  <r>
    <x v="14"/>
    <n v="133"/>
    <n v="67.736343779910655"/>
    <x v="3"/>
  </r>
  <r>
    <x v="15"/>
    <s v="nv"/>
    <s v="n.v"/>
    <x v="0"/>
  </r>
  <r>
    <x v="15"/>
    <n v="113"/>
    <n v="57.550427422029358"/>
    <x v="1"/>
  </r>
  <r>
    <x v="15"/>
    <n v="113"/>
    <n v="57.550427422029358"/>
    <x v="2"/>
  </r>
  <r>
    <x v="15"/>
    <n v="133"/>
    <n v="67.736343779910655"/>
    <x v="3"/>
  </r>
  <r>
    <x v="16"/>
    <s v="nv"/>
    <s v="n.v"/>
    <x v="0"/>
  </r>
  <r>
    <x v="16"/>
    <n v="113"/>
    <n v="57.550427422029358"/>
    <x v="1"/>
  </r>
  <r>
    <x v="16"/>
    <n v="113"/>
    <n v="57.550427422029358"/>
    <x v="2"/>
  </r>
  <r>
    <x v="16"/>
    <n v="133"/>
    <n v="67.736343779910655"/>
    <x v="3"/>
  </r>
  <r>
    <x v="17"/>
    <s v="nv"/>
    <s v="n.v"/>
    <x v="0"/>
  </r>
  <r>
    <x v="17"/>
    <s v="nv"/>
    <s v="n.v"/>
    <x v="1"/>
  </r>
  <r>
    <x v="17"/>
    <s v="nv"/>
    <s v="n.v"/>
    <x v="2"/>
  </r>
  <r>
    <x v="17"/>
    <s v="nv"/>
    <s v="n.v"/>
    <x v="3"/>
  </r>
  <r>
    <x v="17"/>
    <n v="290"/>
    <n v="147.69578718927886"/>
    <x v="4"/>
  </r>
  <r>
    <x v="18"/>
    <s v="nv"/>
    <s v="n.v"/>
    <x v="0"/>
  </r>
  <r>
    <x v="18"/>
    <s v="nv"/>
    <s v="n.v"/>
    <x v="1"/>
  </r>
  <r>
    <x v="18"/>
    <s v="nv"/>
    <s v="n.v"/>
    <x v="2"/>
  </r>
  <r>
    <x v="18"/>
    <s v="nv"/>
    <s v="n.v"/>
    <x v="3"/>
  </r>
  <r>
    <x v="18"/>
    <n v="290"/>
    <n v="147.69578718927886"/>
    <x v="4"/>
  </r>
  <r>
    <x v="19"/>
    <s v="nv"/>
    <s v="n.v"/>
    <x v="0"/>
  </r>
  <r>
    <x v="19"/>
    <s v="nv"/>
    <s v="n.v"/>
    <x v="1"/>
  </r>
  <r>
    <x v="19"/>
    <s v="nv"/>
    <s v="n.v"/>
    <x v="2"/>
  </r>
  <r>
    <x v="19"/>
    <s v="nv"/>
    <s v="n.v"/>
    <x v="3"/>
  </r>
  <r>
    <x v="19"/>
    <n v="290"/>
    <n v="147.69578718927886"/>
    <x v="4"/>
  </r>
  <r>
    <x v="20"/>
    <s v="nv"/>
    <s v="n.v"/>
    <x v="0"/>
  </r>
  <r>
    <x v="20"/>
    <s v="nv"/>
    <s v="n.v"/>
    <x v="1"/>
  </r>
  <r>
    <x v="20"/>
    <s v="nv"/>
    <s v="n.v"/>
    <x v="2"/>
  </r>
  <r>
    <x v="20"/>
    <s v="nv"/>
    <s v="n.v"/>
    <x v="3"/>
  </r>
  <r>
    <x v="20"/>
    <n v="580"/>
    <n v="295.39157437855772"/>
    <x v="4"/>
  </r>
  <r>
    <x v="21"/>
    <s v="nv"/>
    <s v="n.v"/>
    <x v="0"/>
  </r>
  <r>
    <x v="21"/>
    <s v="nv"/>
    <s v="n.v"/>
    <x v="1"/>
  </r>
  <r>
    <x v="21"/>
    <s v="nv"/>
    <s v="n.v"/>
    <x v="2"/>
  </r>
  <r>
    <x v="21"/>
    <s v="nv"/>
    <s v="n.v"/>
    <x v="3"/>
  </r>
  <r>
    <x v="21"/>
    <n v="580"/>
    <n v="295.39157437855772"/>
    <x v="4"/>
  </r>
  <r>
    <x v="22"/>
    <s v="nv"/>
    <s v="n.v"/>
    <x v="0"/>
  </r>
  <r>
    <x v="22"/>
    <s v="nv"/>
    <s v="n.v"/>
    <x v="1"/>
  </r>
  <r>
    <x v="22"/>
    <s v="nv"/>
    <s v="n.v"/>
    <x v="2"/>
  </r>
  <r>
    <x v="22"/>
    <s v="nv"/>
    <s v="n.v"/>
    <x v="3"/>
  </r>
  <r>
    <x v="22"/>
    <n v="580"/>
    <n v="295.39157437855772"/>
    <x v="4"/>
  </r>
  <r>
    <x v="23"/>
    <n v="10"/>
    <n v="5.0929581789406511"/>
    <x v="0"/>
  </r>
  <r>
    <x v="23"/>
    <s v="nv"/>
    <s v="n.v"/>
    <x v="1"/>
  </r>
  <r>
    <x v="23"/>
    <s v="nv"/>
    <s v="n.v"/>
    <x v="2"/>
  </r>
  <r>
    <x v="23"/>
    <n v="17"/>
    <n v="8.6580289041991065"/>
    <x v="3"/>
  </r>
  <r>
    <x v="23"/>
    <s v="nv"/>
    <s v="n.v"/>
    <x v="4"/>
  </r>
  <r>
    <x v="24"/>
    <n v="33"/>
    <n v="16.80676199050415"/>
    <x v="0"/>
  </r>
  <r>
    <x v="24"/>
    <n v="46"/>
    <n v="23.427607623126995"/>
    <x v="1"/>
  </r>
  <r>
    <x v="24"/>
    <s v="nv"/>
    <s v="n.v"/>
    <x v="2"/>
  </r>
  <r>
    <x v="24"/>
    <n v="64"/>
    <n v="32.594932345220165"/>
    <x v="3"/>
  </r>
  <r>
    <x v="24"/>
    <s v="nv"/>
    <s v="n.v"/>
    <x v="4"/>
  </r>
  <r>
    <x v="25"/>
    <n v="33"/>
    <n v="16.80676199050415"/>
    <x v="0"/>
  </r>
  <r>
    <x v="25"/>
    <n v="46"/>
    <n v="23.427607623126995"/>
    <x v="1"/>
  </r>
  <r>
    <x v="25"/>
    <s v="nv"/>
    <s v="n.v"/>
    <x v="2"/>
  </r>
  <r>
    <x v="25"/>
    <n v="64"/>
    <n v="32.594932345220165"/>
    <x v="3"/>
  </r>
  <r>
    <x v="25"/>
    <s v="nv"/>
    <s v="n.v"/>
    <x v="4"/>
  </r>
  <r>
    <x v="26"/>
    <s v="nv"/>
    <s v="n.v"/>
    <x v="0"/>
  </r>
  <r>
    <x v="26"/>
    <n v="85"/>
    <n v="43.290144520995533"/>
    <x v="1"/>
  </r>
  <r>
    <x v="26"/>
    <s v="nv"/>
    <s v="n.v"/>
    <x v="2"/>
  </r>
  <r>
    <x v="26"/>
    <n v="95"/>
    <n v="48.383102699936181"/>
    <x v="3"/>
  </r>
  <r>
    <x v="26"/>
    <s v="nv"/>
    <s v="n.v"/>
    <x v="4"/>
  </r>
  <r>
    <x v="27"/>
    <s v="nv"/>
    <s v="n.v"/>
    <x v="0"/>
  </r>
  <r>
    <x v="27"/>
    <n v="85"/>
    <n v="43.290144520995533"/>
    <x v="1"/>
  </r>
  <r>
    <x v="27"/>
    <s v="nv"/>
    <s v="n.v"/>
    <x v="2"/>
  </r>
  <r>
    <x v="27"/>
    <n v="95"/>
    <n v="48.383102699936181"/>
    <x v="3"/>
  </r>
  <r>
    <x v="27"/>
    <s v="nv"/>
    <s v="n.v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-Tabelle3" cacheId="0" dataOnRows="1" applyNumberFormats="0" applyBorderFormats="0" applyFontFormats="0" applyPatternFormats="0" applyAlignmentFormats="0" applyWidthHeightFormats="1" dataCaption="Daten" missingCaption="0" updatedVersion="5" asteriskTotals="1" showMultipleLabel="0" showMemberPropertyTips="0" useAutoFormatting="1" rowGrandTotals="0" colGrandTotals="0" itemPrintTitles="1" createdVersion="4" indent="0" compact="0" compactData="0" gridDropZones="1">
  <location ref="R96:W125" firstHeaderRow="1" firstDataRow="2" firstDataCol="1"/>
  <pivotFields count="4">
    <pivotField axis="axisRow" compact="0" outline="0" subtotalTop="0" showAll="0" includeNewItemsInFilter="1">
      <items count="29">
        <item x="0"/>
        <item x="1"/>
        <item x="2"/>
        <item x="3"/>
        <item x="6"/>
        <item x="4"/>
        <item x="7"/>
        <item x="5"/>
        <item x="8"/>
        <item x="9"/>
        <item x="10"/>
        <item x="11"/>
        <item x="14"/>
        <item x="12"/>
        <item x="15"/>
        <item x="1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outline="0" subtotalTop="0" showAll="0" includeNewItemsInFilter="1"/>
    <pivotField dataField="1" compact="0" outline="0" subtotalTop="0" showAll="0" includeNewItemsInFilter="1"/>
    <pivotField axis="axisCol" compact="0" outline="0" subtotalTop="0" showAll="0" includeNewItemsInFilter="1">
      <items count="6">
        <item x="0"/>
        <item x="1"/>
        <item x="2"/>
        <item n="vertikal" x="3"/>
        <item x="4"/>
        <item t="default"/>
      </items>
    </pivotField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3"/>
  </colFields>
  <colItems count="5">
    <i>
      <x/>
    </i>
    <i>
      <x v="1"/>
    </i>
    <i>
      <x v="2"/>
    </i>
    <i>
      <x v="3"/>
    </i>
    <i>
      <x v="4"/>
    </i>
  </colItems>
  <dataFields count="1">
    <dataField name="Produkt - ldl_max" fld="2" subtotal="product" baseField="0" baseItem="0" numFmtId="2"/>
  </dataFields>
  <formats count="188">
    <format dxfId="203">
      <pivotArea type="all" dataOnly="0" outline="0" fieldPosition="0"/>
    </format>
    <format dxfId="202">
      <pivotArea outline="0" collapsedLevelsAreSubtotals="1" fieldPosition="0"/>
    </format>
    <format dxfId="201">
      <pivotArea dataOnly="0" labelOnly="1" outline="0" fieldPosition="0">
        <references count="1">
          <reference field="0" count="0"/>
        </references>
      </pivotArea>
    </format>
    <format dxfId="200">
      <pivotArea dataOnly="0" labelOnly="1" outline="0" fieldPosition="0">
        <references count="1">
          <reference field="3" count="0"/>
        </references>
      </pivotArea>
    </format>
    <format dxfId="199">
      <pivotArea type="all" dataOnly="0" outline="0" fieldPosition="0"/>
    </format>
    <format dxfId="198">
      <pivotArea outline="0" collapsedLevelsAreSubtotals="1" fieldPosition="0"/>
    </format>
    <format dxfId="197">
      <pivotArea type="origin" dataOnly="0" labelOnly="1" outline="0" fieldPosition="0"/>
    </format>
    <format dxfId="196">
      <pivotArea field="3" type="button" dataOnly="0" labelOnly="1" outline="0" axis="axisCol" fieldPosition="0"/>
    </format>
    <format dxfId="195">
      <pivotArea type="topRight" dataOnly="0" labelOnly="1" outline="0" fieldPosition="0"/>
    </format>
    <format dxfId="194">
      <pivotArea field="0" type="button" dataOnly="0" labelOnly="1" outline="0" axis="axisRow" fieldPosition="0"/>
    </format>
    <format dxfId="193">
      <pivotArea dataOnly="0" labelOnly="1" outline="0" fieldPosition="0">
        <references count="1">
          <reference field="0" count="0"/>
        </references>
      </pivotArea>
    </format>
    <format dxfId="192">
      <pivotArea dataOnly="0" labelOnly="1" outline="0" fieldPosition="0">
        <references count="1">
          <reference field="3" count="0"/>
        </references>
      </pivotArea>
    </format>
    <format dxfId="191">
      <pivotArea type="all" dataOnly="0" outline="0" fieldPosition="0"/>
    </format>
    <format dxfId="190">
      <pivotArea outline="0" collapsedLevelsAreSubtotals="1" fieldPosition="0"/>
    </format>
    <format dxfId="189">
      <pivotArea type="origin" dataOnly="0" labelOnly="1" outline="0" fieldPosition="0"/>
    </format>
    <format dxfId="188">
      <pivotArea field="3" type="button" dataOnly="0" labelOnly="1" outline="0" axis="axisCol" fieldPosition="0"/>
    </format>
    <format dxfId="187">
      <pivotArea type="topRight" dataOnly="0" labelOnly="1" outline="0" fieldPosition="0"/>
    </format>
    <format dxfId="186">
      <pivotArea field="0" type="button" dataOnly="0" labelOnly="1" outline="0" axis="axisRow" fieldPosition="0"/>
    </format>
    <format dxfId="185">
      <pivotArea dataOnly="0" labelOnly="1" outline="0" fieldPosition="0">
        <references count="1">
          <reference field="0" count="0"/>
        </references>
      </pivotArea>
    </format>
    <format dxfId="184">
      <pivotArea dataOnly="0" labelOnly="1" outline="0" fieldPosition="0">
        <references count="1">
          <reference field="3" count="0"/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type="origin" dataOnly="0" labelOnly="1" outline="0" fieldPosition="0"/>
    </format>
    <format dxfId="180">
      <pivotArea field="3" type="button" dataOnly="0" labelOnly="1" outline="0" axis="axisCol" fieldPosition="0"/>
    </format>
    <format dxfId="179">
      <pivotArea type="topRight" dataOnly="0" labelOnly="1" outline="0" fieldPosition="0"/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0" count="0"/>
        </references>
      </pivotArea>
    </format>
    <format dxfId="176">
      <pivotArea dataOnly="0" labelOnly="1" outline="0" fieldPosition="0">
        <references count="1">
          <reference field="3" count="0"/>
        </references>
      </pivotArea>
    </format>
    <format dxfId="175">
      <pivotArea type="all" dataOnly="0" outline="0" fieldPosition="0"/>
    </format>
    <format dxfId="174">
      <pivotArea outline="0" collapsedLevelsAreSubtotals="1" fieldPosition="0"/>
    </format>
    <format dxfId="173">
      <pivotArea type="origin" dataOnly="0" labelOnly="1" outline="0" fieldPosition="0"/>
    </format>
    <format dxfId="172">
      <pivotArea field="3" type="button" dataOnly="0" labelOnly="1" outline="0" axis="axisCol" fieldPosition="0"/>
    </format>
    <format dxfId="171">
      <pivotArea type="topRight" dataOnly="0" labelOnly="1" outline="0" fieldPosition="0"/>
    </format>
    <format dxfId="170">
      <pivotArea field="0" type="button" dataOnly="0" labelOnly="1" outline="0" axis="axisRow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dataOnly="0" labelOnly="1" outline="0" fieldPosition="0">
        <references count="1">
          <reference field="3" count="0"/>
        </references>
      </pivotArea>
    </format>
    <format dxfId="167">
      <pivotArea type="all" dataOnly="0" outline="0" fieldPosition="0"/>
    </format>
    <format dxfId="166">
      <pivotArea outline="0" collapsedLevelsAreSubtotals="1" fieldPosition="0"/>
    </format>
    <format dxfId="165">
      <pivotArea type="origin" dataOnly="0" labelOnly="1" outline="0" fieldPosition="0"/>
    </format>
    <format dxfId="164">
      <pivotArea field="3" type="button" dataOnly="0" labelOnly="1" outline="0" axis="axisCol" fieldPosition="0"/>
    </format>
    <format dxfId="163">
      <pivotArea type="topRight" dataOnly="0" labelOnly="1" outline="0" fieldPosition="0"/>
    </format>
    <format dxfId="162">
      <pivotArea field="0" type="button" dataOnly="0" labelOnly="1" outline="0" axis="axisRow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dataOnly="0" labelOnly="1" outline="0" fieldPosition="0">
        <references count="1">
          <reference field="3" count="0"/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type="origin" dataOnly="0" labelOnly="1" outline="0" fieldPosition="0"/>
    </format>
    <format dxfId="156">
      <pivotArea field="3" type="button" dataOnly="0" labelOnly="1" outline="0" axis="axisCol" fieldPosition="0"/>
    </format>
    <format dxfId="155">
      <pivotArea type="topRight" dataOnly="0" labelOnly="1" outline="0" fieldPosition="0"/>
    </format>
    <format dxfId="154">
      <pivotArea field="0" type="button" dataOnly="0" labelOnly="1" outline="0" axis="axisRow" fieldPosition="0"/>
    </format>
    <format dxfId="153">
      <pivotArea dataOnly="0" labelOnly="1" outline="0" fieldPosition="0">
        <references count="1">
          <reference field="0" count="0"/>
        </references>
      </pivotArea>
    </format>
    <format dxfId="152">
      <pivotArea dataOnly="0" labelOnly="1" outline="0" fieldPosition="0">
        <references count="1">
          <reference field="3" count="0"/>
        </references>
      </pivotArea>
    </format>
    <format dxfId="151">
      <pivotArea type="all" dataOnly="0" outline="0" fieldPosition="0"/>
    </format>
    <format dxfId="150">
      <pivotArea outline="0" collapsedLevelsAreSubtotals="1" fieldPosition="0"/>
    </format>
    <format dxfId="149">
      <pivotArea type="origin" dataOnly="0" labelOnly="1" outline="0" fieldPosition="0"/>
    </format>
    <format dxfId="148">
      <pivotArea field="3" type="button" dataOnly="0" labelOnly="1" outline="0" axis="axisCol" fieldPosition="0"/>
    </format>
    <format dxfId="147">
      <pivotArea type="topRight" dataOnly="0" labelOnly="1" outline="0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3" count="0"/>
        </references>
      </pivotArea>
    </format>
    <format dxfId="143">
      <pivotArea type="all" dataOnly="0" outline="0" fieldPosition="0"/>
    </format>
    <format dxfId="142">
      <pivotArea outline="0" collapsedLevelsAreSubtotals="1" fieldPosition="0"/>
    </format>
    <format dxfId="141">
      <pivotArea type="origin" dataOnly="0" labelOnly="1" outline="0" fieldPosition="0"/>
    </format>
    <format dxfId="140">
      <pivotArea field="3" type="button" dataOnly="0" labelOnly="1" outline="0" axis="axisCol" fieldPosition="0"/>
    </format>
    <format dxfId="139">
      <pivotArea type="topRight" dataOnly="0" labelOnly="1" outline="0" fieldPosition="0"/>
    </format>
    <format dxfId="138">
      <pivotArea field="0" type="button" dataOnly="0" labelOnly="1" outline="0" axis="axisRow" fieldPosition="0"/>
    </format>
    <format dxfId="137">
      <pivotArea dataOnly="0" labelOnly="1" outline="0" fieldPosition="0">
        <references count="1">
          <reference field="0" count="0"/>
        </references>
      </pivotArea>
    </format>
    <format dxfId="136">
      <pivotArea dataOnly="0" labelOnly="1" outline="0" fieldPosition="0">
        <references count="1">
          <reference field="3" count="0"/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type="origin" dataOnly="0" labelOnly="1" outline="0" fieldPosition="0"/>
    </format>
    <format dxfId="132">
      <pivotArea field="3" type="button" dataOnly="0" labelOnly="1" outline="0" axis="axisCol" fieldPosition="0"/>
    </format>
    <format dxfId="131">
      <pivotArea type="topRight" dataOnly="0" labelOnly="1" outline="0" fieldPosition="0"/>
    </format>
    <format dxfId="130">
      <pivotArea field="0" type="button" dataOnly="0" labelOnly="1" outline="0" axis="axisRow" fieldPosition="0"/>
    </format>
    <format dxfId="129">
      <pivotArea dataOnly="0" labelOnly="1" outline="0" fieldPosition="0">
        <references count="1">
          <reference field="0" count="0"/>
        </references>
      </pivotArea>
    </format>
    <format dxfId="128">
      <pivotArea dataOnly="0" labelOnly="1" outline="0" fieldPosition="0">
        <references count="1">
          <reference field="3" count="0"/>
        </references>
      </pivotArea>
    </format>
    <format dxfId="127">
      <pivotArea type="all" dataOnly="0" outline="0" fieldPosition="0"/>
    </format>
    <format dxfId="126">
      <pivotArea outline="0" collapsedLevelsAreSubtotals="1" fieldPosition="0"/>
    </format>
    <format dxfId="125">
      <pivotArea type="origin" dataOnly="0" labelOnly="1" outline="0" fieldPosition="0"/>
    </format>
    <format dxfId="124">
      <pivotArea field="3" type="button" dataOnly="0" labelOnly="1" outline="0" axis="axisCol" fieldPosition="0"/>
    </format>
    <format dxfId="123">
      <pivotArea type="topRight" dataOnly="0" labelOnly="1" outline="0" fieldPosition="0"/>
    </format>
    <format dxfId="122">
      <pivotArea field="0" type="button" dataOnly="0" labelOnly="1" outline="0" axis="axisRow" fieldPosition="0"/>
    </format>
    <format dxfId="121">
      <pivotArea dataOnly="0" labelOnly="1" outline="0" fieldPosition="0">
        <references count="1">
          <reference field="0" count="0"/>
        </references>
      </pivotArea>
    </format>
    <format dxfId="120">
      <pivotArea dataOnly="0" labelOnly="1" outline="0" fieldPosition="0">
        <references count="1">
          <reference field="3" count="0"/>
        </references>
      </pivotArea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type="origin" dataOnly="0" labelOnly="1" outline="0" fieldPosition="0"/>
    </format>
    <format dxfId="116">
      <pivotArea field="3" type="button" dataOnly="0" labelOnly="1" outline="0" axis="axisCol" fieldPosition="0"/>
    </format>
    <format dxfId="115">
      <pivotArea type="topRight" dataOnly="0" labelOnly="1" outline="0" fieldPosition="0"/>
    </format>
    <format dxfId="114">
      <pivotArea field="0" type="button" dataOnly="0" labelOnly="1" outline="0" axis="axisRow" fieldPosition="0"/>
    </format>
    <format dxfId="113">
      <pivotArea dataOnly="0" labelOnly="1" outline="0" fieldPosition="0">
        <references count="1">
          <reference field="0" count="0"/>
        </references>
      </pivotArea>
    </format>
    <format dxfId="112">
      <pivotArea dataOnly="0" labelOnly="1" outline="0" fieldPosition="0">
        <references count="1">
          <reference field="3" count="0"/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3" type="button" dataOnly="0" labelOnly="1" outline="0" axis="axisCol" fieldPosition="0"/>
    </format>
    <format dxfId="107">
      <pivotArea type="topRight" dataOnly="0" labelOnly="1" outline="0" fieldPosition="0"/>
    </format>
    <format dxfId="106">
      <pivotArea field="0" type="button" dataOnly="0" labelOnly="1" outline="0" axis="axisRow" fieldPosition="0"/>
    </format>
    <format dxfId="105">
      <pivotArea dataOnly="0" labelOnly="1" outline="0" fieldPosition="0">
        <references count="1">
          <reference field="0" count="0"/>
        </references>
      </pivotArea>
    </format>
    <format dxfId="104">
      <pivotArea dataOnly="0" labelOnly="1" outline="0" fieldPosition="0">
        <references count="1">
          <reference field="3" count="0"/>
        </references>
      </pivotArea>
    </format>
    <format dxfId="103">
      <pivotArea type="all" dataOnly="0" outline="0" fieldPosition="0"/>
    </format>
    <format dxfId="102">
      <pivotArea outline="0" collapsedLevelsAreSubtotals="1" fieldPosition="0"/>
    </format>
    <format dxfId="101">
      <pivotArea type="origin" dataOnly="0" labelOnly="1" outline="0" fieldPosition="0"/>
    </format>
    <format dxfId="100">
      <pivotArea field="3" type="button" dataOnly="0" labelOnly="1" outline="0" axis="axisCol" fieldPosition="0"/>
    </format>
    <format dxfId="99">
      <pivotArea type="topRight" dataOnly="0" labelOnly="1" outline="0" fieldPosition="0"/>
    </format>
    <format dxfId="98">
      <pivotArea field="0" type="button" dataOnly="0" labelOnly="1" outline="0" axis="axisRow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dataOnly="0" labelOnly="1" outline="0" fieldPosition="0">
        <references count="1">
          <reference field="3" count="0"/>
        </references>
      </pivotArea>
    </format>
    <format dxfId="95">
      <pivotArea type="all" dataOnly="0" outline="0" fieldPosition="0"/>
    </format>
    <format dxfId="94">
      <pivotArea outline="0" collapsedLevelsAreSubtotals="1" fieldPosition="0"/>
    </format>
    <format dxfId="93">
      <pivotArea type="origin" dataOnly="0" labelOnly="1" outline="0" fieldPosition="0"/>
    </format>
    <format dxfId="92">
      <pivotArea field="3" type="button" dataOnly="0" labelOnly="1" outline="0" axis="axisCol" fieldPosition="0"/>
    </format>
    <format dxfId="91">
      <pivotArea type="topRight" dataOnly="0" labelOnly="1" outline="0" fieldPosition="0"/>
    </format>
    <format dxfId="90">
      <pivotArea field="0" type="button" dataOnly="0" labelOnly="1" outline="0" axis="axisRow" fieldPosition="0"/>
    </format>
    <format dxfId="89">
      <pivotArea dataOnly="0" labelOnly="1" outline="0" fieldPosition="0">
        <references count="1">
          <reference field="0" count="0"/>
        </references>
      </pivotArea>
    </format>
    <format dxfId="88">
      <pivotArea dataOnly="0" labelOnly="1" outline="0" fieldPosition="0">
        <references count="1">
          <reference field="3" count="0"/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type="origin" dataOnly="0" labelOnly="1" outline="0" fieldPosition="0"/>
    </format>
    <format dxfId="84">
      <pivotArea field="3" type="button" dataOnly="0" labelOnly="1" outline="0" axis="axisCol" fieldPosition="0"/>
    </format>
    <format dxfId="83">
      <pivotArea type="topRight" dataOnly="0" labelOnly="1" outline="0" fieldPosition="0"/>
    </format>
    <format dxfId="82">
      <pivotArea field="0" type="button" dataOnly="0" labelOnly="1" outline="0" axis="axisRow" fieldPosition="0"/>
    </format>
    <format dxfId="81">
      <pivotArea dataOnly="0" labelOnly="1" outline="0" fieldPosition="0">
        <references count="1">
          <reference field="0" count="0"/>
        </references>
      </pivotArea>
    </format>
    <format dxfId="80">
      <pivotArea dataOnly="0" labelOnly="1" outline="0" fieldPosition="0">
        <references count="1">
          <reference field="3" count="0"/>
        </references>
      </pivotArea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type="origin" dataOnly="0" labelOnly="1" outline="0" fieldPosition="0"/>
    </format>
    <format dxfId="76">
      <pivotArea field="3" type="button" dataOnly="0" labelOnly="1" outline="0" axis="axisCol" fieldPosition="0"/>
    </format>
    <format dxfId="75">
      <pivotArea type="topRight" dataOnly="0" labelOnly="1" outline="0" fieldPosition="0"/>
    </format>
    <format dxfId="74">
      <pivotArea field="0" type="button" dataOnly="0" labelOnly="1" outline="0" axis="axisRow" fieldPosition="0"/>
    </format>
    <format dxfId="73">
      <pivotArea dataOnly="0" labelOnly="1" outline="0" fieldPosition="0">
        <references count="1">
          <reference field="0" count="0"/>
        </references>
      </pivotArea>
    </format>
    <format dxfId="72">
      <pivotArea dataOnly="0" labelOnly="1" outline="0" fieldPosition="0">
        <references count="1">
          <reference field="3" count="0"/>
        </references>
      </pivotArea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3" type="button" dataOnly="0" labelOnly="1" outline="0" axis="axisCol" fieldPosition="0"/>
    </format>
    <format dxfId="67">
      <pivotArea type="topRight" dataOnly="0" labelOnly="1" outline="0" fieldPosition="0"/>
    </format>
    <format dxfId="66">
      <pivotArea field="0" type="button" dataOnly="0" labelOnly="1" outline="0" axis="axisRow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dataOnly="0" labelOnly="1" outline="0" fieldPosition="0">
        <references count="1">
          <reference field="3" count="0"/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type="origin" dataOnly="0" labelOnly="1" outline="0" fieldPosition="0"/>
    </format>
    <format dxfId="60">
      <pivotArea field="3" type="button" dataOnly="0" labelOnly="1" outline="0" axis="axisCol" fieldPosition="0"/>
    </format>
    <format dxfId="59">
      <pivotArea type="topRight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0" count="0"/>
        </references>
      </pivotArea>
    </format>
    <format dxfId="56">
      <pivotArea dataOnly="0" labelOnly="1" outline="0" fieldPosition="0">
        <references count="1">
          <reference field="3" count="0"/>
        </references>
      </pivotArea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field="3" type="button" dataOnly="0" labelOnly="1" outline="0" axis="axisCol" fieldPosition="0"/>
    </format>
    <format dxfId="51">
      <pivotArea type="topRight" dataOnly="0" labelOnly="1" outline="0" fieldPosition="0"/>
    </format>
    <format dxfId="50">
      <pivotArea field="0" type="button" dataOnly="0" labelOnly="1" outline="0" axis="axisRow" fieldPosition="0"/>
    </format>
    <format dxfId="49">
      <pivotArea dataOnly="0" labelOnly="1" outline="0" fieldPosition="0">
        <references count="1">
          <reference field="0" count="0"/>
        </references>
      </pivotArea>
    </format>
    <format dxfId="48">
      <pivotArea dataOnly="0" labelOnly="1" outline="0" fieldPosition="0">
        <references count="1">
          <reference field="3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3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0" type="button" dataOnly="0" labelOnly="1" outline="0" axis="axisRow" fieldPosition="0"/>
    </format>
    <format dxfId="41">
      <pivotArea dataOnly="0" labelOnly="1" outline="0" fieldPosition="0">
        <references count="1">
          <reference field="0" count="0"/>
        </references>
      </pivotArea>
    </format>
    <format dxfId="40">
      <pivotArea dataOnly="0" labelOnly="1" outline="0" fieldPosition="0">
        <references count="1">
          <reference field="3" count="0"/>
        </references>
      </pivotArea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3" type="button" dataOnly="0" labelOnly="1" outline="0" axis="axisCol" fieldPosition="0"/>
    </format>
    <format dxfId="35">
      <pivotArea type="topRight" dataOnly="0" labelOnly="1" outline="0" fieldPosition="0"/>
    </format>
    <format dxfId="34">
      <pivotArea field="0" type="button" dataOnly="0" labelOnly="1" outline="0" axis="axisRow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dataOnly="0" labelOnly="1" outline="0" fieldPosition="0">
        <references count="1">
          <reference field="3" count="0"/>
        </references>
      </pivotArea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3" type="button" dataOnly="0" labelOnly="1" outline="0" axis="axisCol" fieldPosition="0"/>
    </format>
    <format dxfId="27">
      <pivotArea type="topRight" dataOnly="0" labelOnly="1" outline="0" fieldPosition="0"/>
    </format>
    <format dxfId="26">
      <pivotArea field="0" type="button" dataOnly="0" labelOnly="1" outline="0" axis="axisRow" fieldPosition="0"/>
    </format>
    <format dxfId="25">
      <pivotArea dataOnly="0" labelOnly="1" outline="0" fieldPosition="0">
        <references count="1">
          <reference field="0" count="0"/>
        </references>
      </pivotArea>
    </format>
    <format dxfId="24">
      <pivotArea dataOnly="0" labelOnly="1" outline="0" fieldPosition="0">
        <references count="1">
          <reference field="3" count="0"/>
        </references>
      </pivotArea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3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3" count="0"/>
        </references>
      </pivotArea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-Tabelle2" cacheId="0" dataOnRows="1" applyNumberFormats="0" applyBorderFormats="0" applyFontFormats="0" applyPatternFormats="0" applyAlignmentFormats="0" applyWidthHeightFormats="1" dataCaption="Daten" missingCaption="0" updatedVersion="5" asteriskTotals="1" showMultipleLabel="0" showMemberPropertyTips="0" useAutoFormatting="1" rowGrandTotals="0" colGrandTotals="0" itemPrintTitles="1" createdVersion="4" indent="0" compact="0" compactData="0" gridDropZones="1">
  <location ref="K96:P125" firstHeaderRow="1" firstDataRow="2" firstDataCol="1"/>
  <pivotFields count="4">
    <pivotField axis="axisRow" compact="0" outline="0" subtotalTop="0" showAll="0" includeNewItemsInFilter="1">
      <items count="29">
        <item x="0"/>
        <item x="1"/>
        <item x="2"/>
        <item x="3"/>
        <item x="6"/>
        <item x="4"/>
        <item x="7"/>
        <item x="5"/>
        <item x="8"/>
        <item x="9"/>
        <item x="10"/>
        <item x="11"/>
        <item x="14"/>
        <item x="12"/>
        <item x="15"/>
        <item x="1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dataField="1"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6">
        <item x="0"/>
        <item x="1"/>
        <item x="2"/>
        <item n="vertikal" x="3"/>
        <item x="4"/>
        <item t="default"/>
      </items>
    </pivotField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3"/>
  </colFields>
  <colItems count="5">
    <i>
      <x/>
    </i>
    <i>
      <x v="1"/>
    </i>
    <i>
      <x v="2"/>
    </i>
    <i>
      <x v="3"/>
    </i>
    <i>
      <x v="4"/>
    </i>
  </colItems>
  <dataFields count="1">
    <dataField name="Produkt - Nutzvolumen" fld="1" subtotal="product" baseField="0" baseItem="0"/>
  </dataFields>
  <formats count="188">
    <format dxfId="375">
      <pivotArea type="all" dataOnly="0" outline="0" fieldPosition="0"/>
    </format>
    <format dxfId="374">
      <pivotArea outline="0" collapsedLevelsAreSubtotals="1" fieldPosition="0"/>
    </format>
    <format dxfId="373">
      <pivotArea dataOnly="0" labelOnly="1" outline="0" fieldPosition="0">
        <references count="1">
          <reference field="0" count="0"/>
        </references>
      </pivotArea>
    </format>
    <format dxfId="372">
      <pivotArea dataOnly="0" labelOnly="1" outline="0" fieldPosition="0">
        <references count="1">
          <reference field="3" count="0"/>
        </references>
      </pivotArea>
    </format>
    <format dxfId="371">
      <pivotArea type="all" dataOnly="0" outline="0" fieldPosition="0"/>
    </format>
    <format dxfId="370">
      <pivotArea outline="0" collapsedLevelsAreSubtotals="1" fieldPosition="0"/>
    </format>
    <format dxfId="369">
      <pivotArea type="origin" dataOnly="0" labelOnly="1" outline="0" fieldPosition="0"/>
    </format>
    <format dxfId="368">
      <pivotArea field="3" type="button" dataOnly="0" labelOnly="1" outline="0" axis="axisCol" fieldPosition="0"/>
    </format>
    <format dxfId="367">
      <pivotArea type="topRight" dataOnly="0" labelOnly="1" outline="0" fieldPosition="0"/>
    </format>
    <format dxfId="366">
      <pivotArea field="0" type="button" dataOnly="0" labelOnly="1" outline="0" axis="axisRow" fieldPosition="0"/>
    </format>
    <format dxfId="365">
      <pivotArea dataOnly="0" labelOnly="1" outline="0" fieldPosition="0">
        <references count="1">
          <reference field="0" count="0"/>
        </references>
      </pivotArea>
    </format>
    <format dxfId="364">
      <pivotArea dataOnly="0" labelOnly="1" outline="0" fieldPosition="0">
        <references count="1">
          <reference field="3" count="0"/>
        </references>
      </pivotArea>
    </format>
    <format dxfId="363">
      <pivotArea type="all" dataOnly="0" outline="0" fieldPosition="0"/>
    </format>
    <format dxfId="362">
      <pivotArea outline="0" collapsedLevelsAreSubtotals="1" fieldPosition="0"/>
    </format>
    <format dxfId="361">
      <pivotArea type="origin" dataOnly="0" labelOnly="1" outline="0" fieldPosition="0"/>
    </format>
    <format dxfId="360">
      <pivotArea field="3" type="button" dataOnly="0" labelOnly="1" outline="0" axis="axisCol" fieldPosition="0"/>
    </format>
    <format dxfId="359">
      <pivotArea type="topRight" dataOnly="0" labelOnly="1" outline="0" fieldPosition="0"/>
    </format>
    <format dxfId="358">
      <pivotArea field="0" type="button" dataOnly="0" labelOnly="1" outline="0" axis="axisRow" fieldPosition="0"/>
    </format>
    <format dxfId="357">
      <pivotArea dataOnly="0" labelOnly="1" outline="0" fieldPosition="0">
        <references count="1">
          <reference field="0" count="0"/>
        </references>
      </pivotArea>
    </format>
    <format dxfId="356">
      <pivotArea dataOnly="0" labelOnly="1" outline="0" fieldPosition="0">
        <references count="1">
          <reference field="3" count="0"/>
        </references>
      </pivotArea>
    </format>
    <format dxfId="355">
      <pivotArea type="all" dataOnly="0" outline="0" fieldPosition="0"/>
    </format>
    <format dxfId="354">
      <pivotArea outline="0" collapsedLevelsAreSubtotals="1" fieldPosition="0"/>
    </format>
    <format dxfId="353">
      <pivotArea type="origin" dataOnly="0" labelOnly="1" outline="0" fieldPosition="0"/>
    </format>
    <format dxfId="352">
      <pivotArea field="3" type="button" dataOnly="0" labelOnly="1" outline="0" axis="axisCol" fieldPosition="0"/>
    </format>
    <format dxfId="351">
      <pivotArea type="topRight" dataOnly="0" labelOnly="1" outline="0" fieldPosition="0"/>
    </format>
    <format dxfId="350">
      <pivotArea field="0" type="button" dataOnly="0" labelOnly="1" outline="0" axis="axisRow" fieldPosition="0"/>
    </format>
    <format dxfId="349">
      <pivotArea dataOnly="0" labelOnly="1" outline="0" fieldPosition="0">
        <references count="1">
          <reference field="0" count="0"/>
        </references>
      </pivotArea>
    </format>
    <format dxfId="348">
      <pivotArea dataOnly="0" labelOnly="1" outline="0" fieldPosition="0">
        <references count="1">
          <reference field="3" count="0"/>
        </references>
      </pivotArea>
    </format>
    <format dxfId="347">
      <pivotArea type="all" dataOnly="0" outline="0" fieldPosition="0"/>
    </format>
    <format dxfId="346">
      <pivotArea outline="0" collapsedLevelsAreSubtotals="1" fieldPosition="0"/>
    </format>
    <format dxfId="345">
      <pivotArea type="origin" dataOnly="0" labelOnly="1" outline="0" fieldPosition="0"/>
    </format>
    <format dxfId="344">
      <pivotArea field="3" type="button" dataOnly="0" labelOnly="1" outline="0" axis="axisCol" fieldPosition="0"/>
    </format>
    <format dxfId="343">
      <pivotArea type="topRight" dataOnly="0" labelOnly="1" outline="0" fieldPosition="0"/>
    </format>
    <format dxfId="342">
      <pivotArea field="0" type="button" dataOnly="0" labelOnly="1" outline="0" axis="axisRow" fieldPosition="0"/>
    </format>
    <format dxfId="341">
      <pivotArea dataOnly="0" labelOnly="1" outline="0" fieldPosition="0">
        <references count="1">
          <reference field="0" count="0"/>
        </references>
      </pivotArea>
    </format>
    <format dxfId="340">
      <pivotArea dataOnly="0" labelOnly="1" outline="0" fieldPosition="0">
        <references count="1">
          <reference field="3" count="0"/>
        </references>
      </pivotArea>
    </format>
    <format dxfId="339">
      <pivotArea type="all" dataOnly="0" outline="0" fieldPosition="0"/>
    </format>
    <format dxfId="338">
      <pivotArea outline="0" collapsedLevelsAreSubtotals="1" fieldPosition="0"/>
    </format>
    <format dxfId="337">
      <pivotArea type="origin" dataOnly="0" labelOnly="1" outline="0" fieldPosition="0"/>
    </format>
    <format dxfId="336">
      <pivotArea field="3" type="button" dataOnly="0" labelOnly="1" outline="0" axis="axisCol" fieldPosition="0"/>
    </format>
    <format dxfId="335">
      <pivotArea type="topRight" dataOnly="0" labelOnly="1" outline="0" fieldPosition="0"/>
    </format>
    <format dxfId="334">
      <pivotArea field="0" type="button" dataOnly="0" labelOnly="1" outline="0" axis="axisRow" fieldPosition="0"/>
    </format>
    <format dxfId="333">
      <pivotArea dataOnly="0" labelOnly="1" outline="0" fieldPosition="0">
        <references count="1">
          <reference field="0" count="0"/>
        </references>
      </pivotArea>
    </format>
    <format dxfId="332">
      <pivotArea dataOnly="0" labelOnly="1" outline="0" fieldPosition="0">
        <references count="1">
          <reference field="3" count="0"/>
        </references>
      </pivotArea>
    </format>
    <format dxfId="331">
      <pivotArea type="all" dataOnly="0" outline="0" fieldPosition="0"/>
    </format>
    <format dxfId="330">
      <pivotArea outline="0" collapsedLevelsAreSubtotals="1" fieldPosition="0"/>
    </format>
    <format dxfId="329">
      <pivotArea type="origin" dataOnly="0" labelOnly="1" outline="0" fieldPosition="0"/>
    </format>
    <format dxfId="328">
      <pivotArea field="3" type="button" dataOnly="0" labelOnly="1" outline="0" axis="axisCol" fieldPosition="0"/>
    </format>
    <format dxfId="327">
      <pivotArea type="topRight" dataOnly="0" labelOnly="1" outline="0" fieldPosition="0"/>
    </format>
    <format dxfId="326">
      <pivotArea field="0" type="button" dataOnly="0" labelOnly="1" outline="0" axis="axisRow" fieldPosition="0"/>
    </format>
    <format dxfId="325">
      <pivotArea dataOnly="0" labelOnly="1" outline="0" fieldPosition="0">
        <references count="1">
          <reference field="0" count="0"/>
        </references>
      </pivotArea>
    </format>
    <format dxfId="324">
      <pivotArea dataOnly="0" labelOnly="1" outline="0" fieldPosition="0">
        <references count="1">
          <reference field="3" count="0"/>
        </references>
      </pivotArea>
    </format>
    <format dxfId="323">
      <pivotArea type="all" dataOnly="0" outline="0" fieldPosition="0"/>
    </format>
    <format dxfId="322">
      <pivotArea outline="0" collapsedLevelsAreSubtotals="1" fieldPosition="0"/>
    </format>
    <format dxfId="321">
      <pivotArea type="origin" dataOnly="0" labelOnly="1" outline="0" fieldPosition="0"/>
    </format>
    <format dxfId="320">
      <pivotArea field="3" type="button" dataOnly="0" labelOnly="1" outline="0" axis="axisCol" fieldPosition="0"/>
    </format>
    <format dxfId="319">
      <pivotArea type="topRight" dataOnly="0" labelOnly="1" outline="0" fieldPosition="0"/>
    </format>
    <format dxfId="318">
      <pivotArea field="0" type="button" dataOnly="0" labelOnly="1" outline="0" axis="axisRow" fieldPosition="0"/>
    </format>
    <format dxfId="317">
      <pivotArea dataOnly="0" labelOnly="1" outline="0" fieldPosition="0">
        <references count="1">
          <reference field="0" count="0"/>
        </references>
      </pivotArea>
    </format>
    <format dxfId="316">
      <pivotArea dataOnly="0" labelOnly="1" outline="0" fieldPosition="0">
        <references count="1">
          <reference field="3" count="0"/>
        </references>
      </pivotArea>
    </format>
    <format dxfId="315">
      <pivotArea type="all" dataOnly="0" outline="0" fieldPosition="0"/>
    </format>
    <format dxfId="314">
      <pivotArea outline="0" collapsedLevelsAreSubtotals="1" fieldPosition="0"/>
    </format>
    <format dxfId="313">
      <pivotArea type="origin" dataOnly="0" labelOnly="1" outline="0" fieldPosition="0"/>
    </format>
    <format dxfId="312">
      <pivotArea field="3" type="button" dataOnly="0" labelOnly="1" outline="0" axis="axisCol" fieldPosition="0"/>
    </format>
    <format dxfId="311">
      <pivotArea type="topRight" dataOnly="0" labelOnly="1" outline="0" fieldPosition="0"/>
    </format>
    <format dxfId="310">
      <pivotArea field="0" type="button" dataOnly="0" labelOnly="1" outline="0" axis="axisRow" fieldPosition="0"/>
    </format>
    <format dxfId="309">
      <pivotArea dataOnly="0" labelOnly="1" outline="0" fieldPosition="0">
        <references count="1">
          <reference field="0" count="0"/>
        </references>
      </pivotArea>
    </format>
    <format dxfId="308">
      <pivotArea dataOnly="0" labelOnly="1" outline="0" fieldPosition="0">
        <references count="1">
          <reference field="3" count="0"/>
        </references>
      </pivotArea>
    </format>
    <format dxfId="307">
      <pivotArea type="all" dataOnly="0" outline="0" fieldPosition="0"/>
    </format>
    <format dxfId="306">
      <pivotArea outline="0" collapsedLevelsAreSubtotals="1" fieldPosition="0"/>
    </format>
    <format dxfId="305">
      <pivotArea type="origin" dataOnly="0" labelOnly="1" outline="0" fieldPosition="0"/>
    </format>
    <format dxfId="304">
      <pivotArea field="3" type="button" dataOnly="0" labelOnly="1" outline="0" axis="axisCol" fieldPosition="0"/>
    </format>
    <format dxfId="303">
      <pivotArea type="topRight" dataOnly="0" labelOnly="1" outline="0" fieldPosition="0"/>
    </format>
    <format dxfId="302">
      <pivotArea field="0" type="button" dataOnly="0" labelOnly="1" outline="0" axis="axisRow" fieldPosition="0"/>
    </format>
    <format dxfId="301">
      <pivotArea dataOnly="0" labelOnly="1" outline="0" fieldPosition="0">
        <references count="1">
          <reference field="0" count="0"/>
        </references>
      </pivotArea>
    </format>
    <format dxfId="300">
      <pivotArea dataOnly="0" labelOnly="1" outline="0" fieldPosition="0">
        <references count="1">
          <reference field="3" count="0"/>
        </references>
      </pivotArea>
    </format>
    <format dxfId="299">
      <pivotArea type="all" dataOnly="0" outline="0" fieldPosition="0"/>
    </format>
    <format dxfId="298">
      <pivotArea outline="0" collapsedLevelsAreSubtotals="1" fieldPosition="0"/>
    </format>
    <format dxfId="297">
      <pivotArea type="origin" dataOnly="0" labelOnly="1" outline="0" fieldPosition="0"/>
    </format>
    <format dxfId="296">
      <pivotArea field="3" type="button" dataOnly="0" labelOnly="1" outline="0" axis="axisCol" fieldPosition="0"/>
    </format>
    <format dxfId="295">
      <pivotArea type="topRight" dataOnly="0" labelOnly="1" outline="0" fieldPosition="0"/>
    </format>
    <format dxfId="294">
      <pivotArea field="0" type="button" dataOnly="0" labelOnly="1" outline="0" axis="axisRow" fieldPosition="0"/>
    </format>
    <format dxfId="293">
      <pivotArea dataOnly="0" labelOnly="1" outline="0" fieldPosition="0">
        <references count="1">
          <reference field="0" count="0"/>
        </references>
      </pivotArea>
    </format>
    <format dxfId="292">
      <pivotArea dataOnly="0" labelOnly="1" outline="0" fieldPosition="0">
        <references count="1">
          <reference field="3" count="0"/>
        </references>
      </pivotArea>
    </format>
    <format dxfId="291">
      <pivotArea type="all" dataOnly="0" outline="0" fieldPosition="0"/>
    </format>
    <format dxfId="290">
      <pivotArea outline="0" collapsedLevelsAreSubtotals="1" fieldPosition="0"/>
    </format>
    <format dxfId="289">
      <pivotArea type="origin" dataOnly="0" labelOnly="1" outline="0" fieldPosition="0"/>
    </format>
    <format dxfId="288">
      <pivotArea field="3" type="button" dataOnly="0" labelOnly="1" outline="0" axis="axisCol" fieldPosition="0"/>
    </format>
    <format dxfId="287">
      <pivotArea type="topRight" dataOnly="0" labelOnly="1" outline="0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3" count="0"/>
        </references>
      </pivotArea>
    </format>
    <format dxfId="283">
      <pivotArea type="all" dataOnly="0" outline="0" fieldPosition="0"/>
    </format>
    <format dxfId="282">
      <pivotArea outline="0" collapsedLevelsAreSubtotals="1" fieldPosition="0"/>
    </format>
    <format dxfId="281">
      <pivotArea type="origin" dataOnly="0" labelOnly="1" outline="0" fieldPosition="0"/>
    </format>
    <format dxfId="280">
      <pivotArea field="3" type="button" dataOnly="0" labelOnly="1" outline="0" axis="axisCol" fieldPosition="0"/>
    </format>
    <format dxfId="279">
      <pivotArea type="topRight" dataOnly="0" labelOnly="1" outline="0" fieldPosition="0"/>
    </format>
    <format dxfId="278">
      <pivotArea field="0" type="button" dataOnly="0" labelOnly="1" outline="0" axis="axisRow" fieldPosition="0"/>
    </format>
    <format dxfId="277">
      <pivotArea dataOnly="0" labelOnly="1" outline="0" fieldPosition="0">
        <references count="1">
          <reference field="0" count="0"/>
        </references>
      </pivotArea>
    </format>
    <format dxfId="276">
      <pivotArea dataOnly="0" labelOnly="1" outline="0" fieldPosition="0">
        <references count="1">
          <reference field="3" count="0"/>
        </references>
      </pivotArea>
    </format>
    <format dxfId="275">
      <pivotArea type="all" dataOnly="0" outline="0" fieldPosition="0"/>
    </format>
    <format dxfId="274">
      <pivotArea outline="0" collapsedLevelsAreSubtotals="1" fieldPosition="0"/>
    </format>
    <format dxfId="273">
      <pivotArea type="origin" dataOnly="0" labelOnly="1" outline="0" fieldPosition="0"/>
    </format>
    <format dxfId="272">
      <pivotArea field="3" type="button" dataOnly="0" labelOnly="1" outline="0" axis="axisCol" fieldPosition="0"/>
    </format>
    <format dxfId="271">
      <pivotArea type="topRight" dataOnly="0" labelOnly="1" outline="0" fieldPosition="0"/>
    </format>
    <format dxfId="270">
      <pivotArea field="0" type="button" dataOnly="0" labelOnly="1" outline="0" axis="axisRow" fieldPosition="0"/>
    </format>
    <format dxfId="269">
      <pivotArea dataOnly="0" labelOnly="1" outline="0" fieldPosition="0">
        <references count="1">
          <reference field="0" count="0"/>
        </references>
      </pivotArea>
    </format>
    <format dxfId="268">
      <pivotArea dataOnly="0" labelOnly="1" outline="0" fieldPosition="0">
        <references count="1">
          <reference field="3" count="0"/>
        </references>
      </pivotArea>
    </format>
    <format dxfId="267">
      <pivotArea type="all" dataOnly="0" outline="0" fieldPosition="0"/>
    </format>
    <format dxfId="266">
      <pivotArea outline="0" collapsedLevelsAreSubtotals="1" fieldPosition="0"/>
    </format>
    <format dxfId="265">
      <pivotArea type="origin" dataOnly="0" labelOnly="1" outline="0" fieldPosition="0"/>
    </format>
    <format dxfId="264">
      <pivotArea field="3" type="button" dataOnly="0" labelOnly="1" outline="0" axis="axisCol" fieldPosition="0"/>
    </format>
    <format dxfId="263">
      <pivotArea type="topRight" dataOnly="0" labelOnly="1" outline="0" fieldPosition="0"/>
    </format>
    <format dxfId="262">
      <pivotArea field="0" type="button" dataOnly="0" labelOnly="1" outline="0" axis="axisRow" fieldPosition="0"/>
    </format>
    <format dxfId="261">
      <pivotArea dataOnly="0" labelOnly="1" outline="0" fieldPosition="0">
        <references count="1">
          <reference field="0" count="0"/>
        </references>
      </pivotArea>
    </format>
    <format dxfId="260">
      <pivotArea dataOnly="0" labelOnly="1" outline="0" fieldPosition="0">
        <references count="1">
          <reference field="3" count="0"/>
        </references>
      </pivotArea>
    </format>
    <format dxfId="259">
      <pivotArea type="all" dataOnly="0" outline="0" fieldPosition="0"/>
    </format>
    <format dxfId="258">
      <pivotArea outline="0" collapsedLevelsAreSubtotals="1" fieldPosition="0"/>
    </format>
    <format dxfId="257">
      <pivotArea type="origin" dataOnly="0" labelOnly="1" outline="0" fieldPosition="0"/>
    </format>
    <format dxfId="256">
      <pivotArea field="3" type="button" dataOnly="0" labelOnly="1" outline="0" axis="axisCol" fieldPosition="0"/>
    </format>
    <format dxfId="255">
      <pivotArea type="topRight" dataOnly="0" labelOnly="1" outline="0" fieldPosition="0"/>
    </format>
    <format dxfId="254">
      <pivotArea field="0" type="button" dataOnly="0" labelOnly="1" outline="0" axis="axisRow" fieldPosition="0"/>
    </format>
    <format dxfId="253">
      <pivotArea dataOnly="0" labelOnly="1" outline="0" fieldPosition="0">
        <references count="1">
          <reference field="0" count="0"/>
        </references>
      </pivotArea>
    </format>
    <format dxfId="252">
      <pivotArea dataOnly="0" labelOnly="1" outline="0" fieldPosition="0">
        <references count="1">
          <reference field="3" count="0"/>
        </references>
      </pivotArea>
    </format>
    <format dxfId="251">
      <pivotArea type="all" dataOnly="0" outline="0" fieldPosition="0"/>
    </format>
    <format dxfId="250">
      <pivotArea outline="0" collapsedLevelsAreSubtotals="1" fieldPosition="0"/>
    </format>
    <format dxfId="249">
      <pivotArea type="origin" dataOnly="0" labelOnly="1" outline="0" fieldPosition="0"/>
    </format>
    <format dxfId="248">
      <pivotArea field="3" type="button" dataOnly="0" labelOnly="1" outline="0" axis="axisCol" fieldPosition="0"/>
    </format>
    <format dxfId="247">
      <pivotArea type="topRight" dataOnly="0" labelOnly="1" outline="0" fieldPosition="0"/>
    </format>
    <format dxfId="246">
      <pivotArea field="0" type="button" dataOnly="0" labelOnly="1" outline="0" axis="axisRow" fieldPosition="0"/>
    </format>
    <format dxfId="245">
      <pivotArea dataOnly="0" labelOnly="1" outline="0" fieldPosition="0">
        <references count="1">
          <reference field="0" count="0"/>
        </references>
      </pivotArea>
    </format>
    <format dxfId="244">
      <pivotArea dataOnly="0" labelOnly="1" outline="0" fieldPosition="0">
        <references count="1">
          <reference field="3" count="0"/>
        </references>
      </pivotArea>
    </format>
    <format dxfId="243">
      <pivotArea type="all" dataOnly="0" outline="0" fieldPosition="0"/>
    </format>
    <format dxfId="242">
      <pivotArea outline="0" collapsedLevelsAreSubtotals="1" fieldPosition="0"/>
    </format>
    <format dxfId="241">
      <pivotArea type="origin" dataOnly="0" labelOnly="1" outline="0" fieldPosition="0"/>
    </format>
    <format dxfId="240">
      <pivotArea field="3" type="button" dataOnly="0" labelOnly="1" outline="0" axis="axisCol" fieldPosition="0"/>
    </format>
    <format dxfId="239">
      <pivotArea type="topRight" dataOnly="0" labelOnly="1" outline="0" fieldPosition="0"/>
    </format>
    <format dxfId="238">
      <pivotArea field="0" type="button" dataOnly="0" labelOnly="1" outline="0" axis="axisRow" fieldPosition="0"/>
    </format>
    <format dxfId="237">
      <pivotArea dataOnly="0" labelOnly="1" outline="0" fieldPosition="0">
        <references count="1">
          <reference field="0" count="0"/>
        </references>
      </pivotArea>
    </format>
    <format dxfId="236">
      <pivotArea dataOnly="0" labelOnly="1" outline="0" fieldPosition="0">
        <references count="1">
          <reference field="3" count="0"/>
        </references>
      </pivotArea>
    </format>
    <format dxfId="235">
      <pivotArea type="all" dataOnly="0" outline="0" fieldPosition="0"/>
    </format>
    <format dxfId="234">
      <pivotArea outline="0" collapsedLevelsAreSubtotals="1" fieldPosition="0"/>
    </format>
    <format dxfId="233">
      <pivotArea type="origin" dataOnly="0" labelOnly="1" outline="0" fieldPosition="0"/>
    </format>
    <format dxfId="232">
      <pivotArea field="3" type="button" dataOnly="0" labelOnly="1" outline="0" axis="axisCol" fieldPosition="0"/>
    </format>
    <format dxfId="231">
      <pivotArea type="topRight" dataOnly="0" labelOnly="1" outline="0" fieldPosition="0"/>
    </format>
    <format dxfId="230">
      <pivotArea field="0" type="button" dataOnly="0" labelOnly="1" outline="0" axis="axisRow" fieldPosition="0"/>
    </format>
    <format dxfId="229">
      <pivotArea dataOnly="0" labelOnly="1" outline="0" fieldPosition="0">
        <references count="1">
          <reference field="0" count="0"/>
        </references>
      </pivotArea>
    </format>
    <format dxfId="228">
      <pivotArea dataOnly="0" labelOnly="1" outline="0" fieldPosition="0">
        <references count="1">
          <reference field="3" count="0"/>
        </references>
      </pivotArea>
    </format>
    <format dxfId="227">
      <pivotArea type="all" dataOnly="0" outline="0" fieldPosition="0"/>
    </format>
    <format dxfId="226">
      <pivotArea outline="0" collapsedLevelsAreSubtotals="1" fieldPosition="0"/>
    </format>
    <format dxfId="225">
      <pivotArea type="origin" dataOnly="0" labelOnly="1" outline="0" fieldPosition="0"/>
    </format>
    <format dxfId="224">
      <pivotArea field="3" type="button" dataOnly="0" labelOnly="1" outline="0" axis="axisCol" fieldPosition="0"/>
    </format>
    <format dxfId="223">
      <pivotArea type="topRight" dataOnly="0" labelOnly="1" outline="0" fieldPosition="0"/>
    </format>
    <format dxfId="222">
      <pivotArea field="0" type="button" dataOnly="0" labelOnly="1" outline="0" axis="axisRow" fieldPosition="0"/>
    </format>
    <format dxfId="221">
      <pivotArea dataOnly="0" labelOnly="1" outline="0" fieldPosition="0">
        <references count="1">
          <reference field="0" count="0"/>
        </references>
      </pivotArea>
    </format>
    <format dxfId="220">
      <pivotArea dataOnly="0" labelOnly="1" outline="0" fieldPosition="0">
        <references count="1">
          <reference field="3" count="0"/>
        </references>
      </pivotArea>
    </format>
    <format dxfId="219">
      <pivotArea type="all" dataOnly="0" outline="0" fieldPosition="0"/>
    </format>
    <format dxfId="218">
      <pivotArea outline="0" collapsedLevelsAreSubtotals="1" fieldPosition="0"/>
    </format>
    <format dxfId="217">
      <pivotArea type="origin" dataOnly="0" labelOnly="1" outline="0" fieldPosition="0"/>
    </format>
    <format dxfId="216">
      <pivotArea field="3" type="button" dataOnly="0" labelOnly="1" outline="0" axis="axisCol" fieldPosition="0"/>
    </format>
    <format dxfId="215">
      <pivotArea type="topRight" dataOnly="0" labelOnly="1" outline="0" fieldPosition="0"/>
    </format>
    <format dxfId="214">
      <pivotArea field="0" type="button" dataOnly="0" labelOnly="1" outline="0" axis="axisRow" fieldPosition="0"/>
    </format>
    <format dxfId="213">
      <pivotArea dataOnly="0" labelOnly="1" outline="0" fieldPosition="0">
        <references count="1">
          <reference field="0" count="0"/>
        </references>
      </pivotArea>
    </format>
    <format dxfId="212">
      <pivotArea dataOnly="0" labelOnly="1" outline="0" fieldPosition="0">
        <references count="1">
          <reference field="3" count="0"/>
        </references>
      </pivotArea>
    </format>
    <format dxfId="211">
      <pivotArea type="all" dataOnly="0" outline="0" fieldPosition="0"/>
    </format>
    <format dxfId="210">
      <pivotArea outline="0" collapsedLevelsAreSubtotals="1" fieldPosition="0"/>
    </format>
    <format dxfId="209">
      <pivotArea type="origin" dataOnly="0" labelOnly="1" outline="0" fieldPosition="0"/>
    </format>
    <format dxfId="208">
      <pivotArea field="3" type="button" dataOnly="0" labelOnly="1" outline="0" axis="axisCol" fieldPosition="0"/>
    </format>
    <format dxfId="207">
      <pivotArea type="topRight" dataOnly="0" labelOnly="1" outline="0" fieldPosition="0"/>
    </format>
    <format dxfId="206">
      <pivotArea field="0" type="button" dataOnly="0" labelOnly="1" outline="0" axis="axisRow" fieldPosition="0"/>
    </format>
    <format dxfId="205">
      <pivotArea dataOnly="0" labelOnly="1" outline="0" fieldPosition="0">
        <references count="1">
          <reference field="0" count="0"/>
        </references>
      </pivotArea>
    </format>
    <format dxfId="204">
      <pivotArea dataOnly="0" labelOnly="1" outline="0" fieldPosition="0">
        <references count="1">
          <reference field="3" count="0"/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3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0" type="button" dataOnly="0" labelOnly="1" outline="0" axis="axisRow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dataOnly="0" labelOnly="1" outline="0" fieldPosition="0">
        <references count="1">
          <reference field="3" count="0"/>
        </references>
      </pivotArea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type="origin" dataOnly="0" labelOnly="1" outline="0" fieldPosition="0"/>
    </format>
    <format dxfId="4">
      <pivotArea field="3" type="button" dataOnly="0" labelOnly="1" outline="0" axis="axisCol" fieldPosition="0"/>
    </format>
    <format dxfId="3">
      <pivotArea type="topRight" dataOnly="0" labelOnly="1" outline="0" fieldPosition="0"/>
    </format>
    <format dxfId="2">
      <pivotArea field="0" type="button" dataOnly="0" labelOnly="1" outline="0" axis="axisRow" fieldPosition="0"/>
    </format>
    <format dxfId="1">
      <pivotArea dataOnly="0" labelOnly="1" outline="0" fieldPosition="0">
        <references count="1">
          <reference field="0" count="0"/>
        </references>
      </pivotArea>
    </format>
    <format dxfId="0">
      <pivotArea dataOnly="0" labelOnly="1" outline="0" fieldPosition="0">
        <references count="1">
          <reference field="3" count="0"/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7" Type="http://schemas.openxmlformats.org/officeDocument/2006/relationships/comments" Target="../comments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6.xml"/><Relationship Id="rId4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B2:L71"/>
  <sheetViews>
    <sheetView showGridLines="0" showRowColHeaders="0" showZeros="0" workbookViewId="0">
      <selection activeCell="D24" sqref="D24"/>
    </sheetView>
  </sheetViews>
  <sheetFormatPr baseColWidth="10" defaultRowHeight="12"/>
  <cols>
    <col min="1" max="1" width="0.85546875" style="136" customWidth="1"/>
    <col min="2" max="2" width="59" style="136" customWidth="1"/>
    <col min="3" max="3" width="5.140625" style="136" customWidth="1"/>
    <col min="4" max="4" width="11.140625" style="136" customWidth="1"/>
    <col min="5" max="5" width="11.42578125" style="136"/>
    <col min="6" max="6" width="5.42578125" style="136" customWidth="1"/>
    <col min="7" max="7" width="2.140625" style="136" customWidth="1"/>
    <col min="8" max="8" width="19.140625" style="136" customWidth="1"/>
    <col min="9" max="9" width="11.42578125" style="136"/>
    <col min="10" max="10" width="11.28515625" style="136" bestFit="1" customWidth="1"/>
    <col min="11" max="11" width="11.42578125" style="136"/>
    <col min="12" max="12" width="7.28515625" style="136" customWidth="1"/>
    <col min="13" max="16384" width="11.42578125" style="136"/>
  </cols>
  <sheetData>
    <row r="2" spans="2:12" ht="15" customHeight="1">
      <c r="B2" s="857" t="s">
        <v>462</v>
      </c>
      <c r="C2" s="160" t="s">
        <v>463</v>
      </c>
      <c r="D2" s="138"/>
      <c r="E2" s="860"/>
      <c r="F2" s="861"/>
      <c r="G2" s="861"/>
      <c r="H2" s="861"/>
      <c r="I2" s="861"/>
      <c r="J2" s="861"/>
      <c r="K2" s="861"/>
      <c r="L2" s="862"/>
    </row>
    <row r="3" spans="2:12" ht="15" customHeight="1">
      <c r="B3" s="858"/>
      <c r="C3" s="161" t="s">
        <v>464</v>
      </c>
      <c r="D3" s="139"/>
      <c r="E3" s="163">
        <f ca="1">NOW()</f>
        <v>44746.443169212966</v>
      </c>
      <c r="F3" s="145" t="s">
        <v>465</v>
      </c>
      <c r="G3" s="146"/>
      <c r="H3" s="148">
        <v>1</v>
      </c>
      <c r="I3" s="147" t="s">
        <v>466</v>
      </c>
      <c r="J3" s="149"/>
      <c r="K3" s="150"/>
      <c r="L3" s="151"/>
    </row>
    <row r="4" spans="2:12" ht="15" customHeight="1">
      <c r="B4" s="859"/>
      <c r="C4" s="162" t="s">
        <v>467</v>
      </c>
      <c r="D4" s="140"/>
      <c r="E4" s="863"/>
      <c r="F4" s="864"/>
      <c r="G4" s="864"/>
      <c r="H4" s="864"/>
      <c r="I4" s="864"/>
      <c r="J4" s="864"/>
      <c r="K4" s="864"/>
      <c r="L4" s="865"/>
    </row>
    <row r="5" spans="2:12" ht="5.25" customHeight="1"/>
    <row r="6" spans="2:12" s="132" customFormat="1" ht="24" customHeight="1">
      <c r="B6" s="164" t="s">
        <v>425</v>
      </c>
      <c r="C6" s="131"/>
      <c r="D6" s="131"/>
    </row>
    <row r="7" spans="2:12" s="132" customFormat="1" ht="7.5" customHeight="1" thickBot="1"/>
    <row r="8" spans="2:12" s="133" customFormat="1" ht="13.5" thickBot="1">
      <c r="B8" s="169" t="s">
        <v>708</v>
      </c>
      <c r="C8" s="170" t="s">
        <v>207</v>
      </c>
      <c r="D8" s="171" t="s">
        <v>426</v>
      </c>
      <c r="E8" s="134"/>
      <c r="F8" s="134"/>
      <c r="G8" s="134"/>
      <c r="H8" s="134"/>
      <c r="I8" s="134"/>
      <c r="J8" s="134"/>
      <c r="K8" s="134"/>
      <c r="L8" s="134"/>
    </row>
    <row r="9" spans="2:12" s="133" customFormat="1" ht="13.5" thickTop="1">
      <c r="B9" s="333" t="s">
        <v>709</v>
      </c>
      <c r="C9" s="173">
        <v>1</v>
      </c>
      <c r="D9" s="174"/>
      <c r="E9" s="134"/>
      <c r="F9" s="134"/>
      <c r="G9" s="134"/>
      <c r="H9" s="134"/>
      <c r="I9" s="134"/>
      <c r="J9" s="134"/>
      <c r="K9" s="134"/>
      <c r="L9" s="134"/>
    </row>
    <row r="10" spans="2:12" s="133" customFormat="1" ht="12.75">
      <c r="B10" s="333" t="s">
        <v>710</v>
      </c>
      <c r="C10" s="142">
        <v>0.7</v>
      </c>
      <c r="D10" s="176"/>
      <c r="E10" s="134"/>
      <c r="F10" s="134"/>
      <c r="G10" s="134"/>
      <c r="H10" s="134"/>
      <c r="I10" s="134"/>
      <c r="J10" s="134"/>
      <c r="K10" s="134"/>
      <c r="L10" s="134"/>
    </row>
    <row r="11" spans="2:12" s="133" customFormat="1" ht="12.75">
      <c r="B11" s="335" t="s">
        <v>711</v>
      </c>
      <c r="C11" s="142">
        <v>0.5</v>
      </c>
      <c r="D11" s="176"/>
      <c r="E11" s="134"/>
      <c r="F11" s="134"/>
      <c r="G11" s="134"/>
      <c r="H11" s="134"/>
      <c r="I11" s="134"/>
      <c r="J11" s="134"/>
      <c r="K11" s="134"/>
      <c r="L11" s="134"/>
    </row>
    <row r="12" spans="2:12" s="133" customFormat="1" ht="13.5" thickBot="1">
      <c r="B12" s="334"/>
      <c r="C12" s="178"/>
      <c r="D12" s="179"/>
      <c r="E12" s="134"/>
      <c r="F12" s="134"/>
      <c r="G12" s="134"/>
      <c r="H12" s="134"/>
      <c r="I12" s="134"/>
      <c r="J12" s="134"/>
      <c r="K12" s="134"/>
      <c r="L12" s="134"/>
    </row>
    <row r="13" spans="2:12" s="133" customFormat="1" ht="7.5" customHeight="1">
      <c r="B13" s="155"/>
      <c r="C13" s="180"/>
      <c r="D13" s="181"/>
      <c r="E13" s="134"/>
      <c r="F13" s="134"/>
      <c r="G13" s="134"/>
      <c r="H13" s="134"/>
      <c r="I13" s="134"/>
      <c r="J13" s="134"/>
      <c r="K13" s="134"/>
      <c r="L13" s="134"/>
    </row>
    <row r="14" spans="2:12" s="133" customFormat="1" ht="15.75">
      <c r="B14" s="182" t="s">
        <v>427</v>
      </c>
      <c r="C14" s="180"/>
      <c r="D14" s="181"/>
      <c r="E14" s="183"/>
      <c r="F14" s="183"/>
      <c r="G14" s="134"/>
      <c r="H14" s="182" t="s">
        <v>461</v>
      </c>
      <c r="I14" s="183"/>
      <c r="J14" s="183"/>
      <c r="K14" s="183"/>
      <c r="L14" s="183"/>
    </row>
    <row r="15" spans="2:12" s="133" customFormat="1" ht="7.5" customHeight="1" thickBot="1">
      <c r="B15" s="182"/>
      <c r="C15" s="180"/>
      <c r="D15" s="181"/>
      <c r="E15" s="183"/>
      <c r="F15" s="183"/>
      <c r="G15" s="134"/>
      <c r="H15" s="182"/>
      <c r="I15" s="183"/>
      <c r="J15" s="183"/>
      <c r="K15" s="183"/>
      <c r="L15" s="183"/>
    </row>
    <row r="16" spans="2:12" s="133" customFormat="1" ht="14.25" thickTop="1" thickBot="1">
      <c r="B16" s="169" t="s">
        <v>428</v>
      </c>
      <c r="C16" s="170" t="s">
        <v>208</v>
      </c>
      <c r="D16" s="184" t="s">
        <v>468</v>
      </c>
      <c r="E16" s="185" t="s">
        <v>469</v>
      </c>
      <c r="F16" s="186"/>
      <c r="G16" s="134"/>
      <c r="H16" s="187" t="s">
        <v>448</v>
      </c>
      <c r="I16" s="188"/>
      <c r="J16" s="189" t="s">
        <v>449</v>
      </c>
      <c r="K16" s="174"/>
      <c r="L16" s="190" t="s">
        <v>210</v>
      </c>
    </row>
    <row r="17" spans="2:12" s="133" customFormat="1" ht="13.5" thickTop="1">
      <c r="B17" s="172" t="s">
        <v>429</v>
      </c>
      <c r="C17" s="173">
        <v>0.5</v>
      </c>
      <c r="D17" s="174"/>
      <c r="E17" s="191">
        <f t="shared" ref="E17:E37" si="0">D17*C17</f>
        <v>0</v>
      </c>
      <c r="F17" s="192"/>
      <c r="G17" s="134"/>
      <c r="H17" s="175" t="s">
        <v>450</v>
      </c>
      <c r="I17" s="193"/>
      <c r="J17" s="194" t="s">
        <v>449</v>
      </c>
      <c r="K17" s="176"/>
      <c r="L17" s="195" t="s">
        <v>211</v>
      </c>
    </row>
    <row r="18" spans="2:12" s="133" customFormat="1" ht="13.5" thickBot="1">
      <c r="B18" s="175" t="s">
        <v>430</v>
      </c>
      <c r="C18" s="142">
        <v>0.6</v>
      </c>
      <c r="D18" s="176"/>
      <c r="E18" s="196">
        <f t="shared" si="0"/>
        <v>0</v>
      </c>
      <c r="F18" s="143"/>
      <c r="G18" s="134"/>
      <c r="H18" s="177" t="s">
        <v>451</v>
      </c>
      <c r="I18" s="197"/>
      <c r="J18" s="198" t="s">
        <v>449</v>
      </c>
      <c r="K18" s="199"/>
      <c r="L18" s="200" t="s">
        <v>212</v>
      </c>
    </row>
    <row r="19" spans="2:12" s="133" customFormat="1" ht="12.75">
      <c r="B19" s="175" t="s">
        <v>431</v>
      </c>
      <c r="C19" s="142">
        <v>0.8</v>
      </c>
      <c r="D19" s="176"/>
      <c r="E19" s="196">
        <f t="shared" si="0"/>
        <v>0</v>
      </c>
      <c r="F19" s="143"/>
      <c r="G19" s="134"/>
      <c r="H19" s="187" t="s">
        <v>452</v>
      </c>
      <c r="I19" s="188"/>
      <c r="J19" s="189" t="s">
        <v>449</v>
      </c>
      <c r="K19" s="201"/>
      <c r="L19" s="190" t="s">
        <v>210</v>
      </c>
    </row>
    <row r="20" spans="2:12" s="133" customFormat="1" ht="12.75">
      <c r="B20" s="175" t="s">
        <v>432</v>
      </c>
      <c r="C20" s="142">
        <v>0.8</v>
      </c>
      <c r="D20" s="176"/>
      <c r="E20" s="196">
        <f t="shared" si="0"/>
        <v>0</v>
      </c>
      <c r="F20" s="143"/>
      <c r="G20" s="134"/>
      <c r="H20" s="175" t="s">
        <v>453</v>
      </c>
      <c r="I20" s="193"/>
      <c r="J20" s="194" t="s">
        <v>449</v>
      </c>
      <c r="K20" s="176"/>
      <c r="L20" s="195" t="s">
        <v>211</v>
      </c>
    </row>
    <row r="21" spans="2:12" s="133" customFormat="1" ht="13.5" thickBot="1">
      <c r="B21" s="175" t="s">
        <v>433</v>
      </c>
      <c r="C21" s="142">
        <v>0.5</v>
      </c>
      <c r="D21" s="176"/>
      <c r="E21" s="196">
        <f t="shared" si="0"/>
        <v>0</v>
      </c>
      <c r="F21" s="143"/>
      <c r="G21" s="134"/>
      <c r="H21" s="177" t="s">
        <v>454</v>
      </c>
      <c r="I21" s="197"/>
      <c r="J21" s="198" t="s">
        <v>449</v>
      </c>
      <c r="K21" s="199"/>
      <c r="L21" s="200" t="s">
        <v>212</v>
      </c>
    </row>
    <row r="22" spans="2:12" s="133" customFormat="1" ht="12.75">
      <c r="B22" s="175" t="s">
        <v>712</v>
      </c>
      <c r="C22" s="142">
        <v>0.2</v>
      </c>
      <c r="D22" s="176"/>
      <c r="E22" s="196">
        <f t="shared" si="0"/>
        <v>0</v>
      </c>
      <c r="F22" s="143"/>
      <c r="G22" s="134"/>
      <c r="H22" s="187" t="s">
        <v>455</v>
      </c>
      <c r="I22" s="188"/>
      <c r="J22" s="189" t="s">
        <v>449</v>
      </c>
      <c r="K22" s="201"/>
      <c r="L22" s="190" t="s">
        <v>210</v>
      </c>
    </row>
    <row r="23" spans="2:12" s="133" customFormat="1" ht="12.75">
      <c r="B23" s="175" t="s">
        <v>434</v>
      </c>
      <c r="C23" s="142">
        <v>0.1</v>
      </c>
      <c r="D23" s="176"/>
      <c r="E23" s="196">
        <f t="shared" si="0"/>
        <v>0</v>
      </c>
      <c r="F23" s="143"/>
      <c r="G23" s="134"/>
      <c r="H23" s="175" t="s">
        <v>456</v>
      </c>
      <c r="I23" s="193"/>
      <c r="J23" s="194" t="s">
        <v>449</v>
      </c>
      <c r="K23" s="176"/>
      <c r="L23" s="195" t="s">
        <v>211</v>
      </c>
    </row>
    <row r="24" spans="2:12" s="133" customFormat="1" ht="13.5" thickBot="1">
      <c r="B24" s="175" t="s">
        <v>435</v>
      </c>
      <c r="C24" s="142">
        <v>0.8</v>
      </c>
      <c r="D24" s="176"/>
      <c r="E24" s="196">
        <f t="shared" si="0"/>
        <v>0</v>
      </c>
      <c r="F24" s="143"/>
      <c r="G24" s="134"/>
      <c r="H24" s="177" t="s">
        <v>457</v>
      </c>
      <c r="I24" s="197"/>
      <c r="J24" s="198" t="s">
        <v>449</v>
      </c>
      <c r="K24" s="179"/>
      <c r="L24" s="200" t="s">
        <v>212</v>
      </c>
    </row>
    <row r="25" spans="2:12" s="133" customFormat="1" ht="13.5" thickBot="1">
      <c r="B25" s="175" t="s">
        <v>436</v>
      </c>
      <c r="C25" s="142">
        <v>2</v>
      </c>
      <c r="D25" s="176"/>
      <c r="E25" s="196">
        <f t="shared" si="0"/>
        <v>0</v>
      </c>
      <c r="F25" s="143"/>
      <c r="G25" s="134"/>
      <c r="H25" s="866" t="s">
        <v>213</v>
      </c>
      <c r="I25" s="202"/>
      <c r="J25" s="167" t="s">
        <v>447</v>
      </c>
      <c r="K25" s="157">
        <f>((K16*K17*K18)/10000)+((K19*K20*K21)/10000)+((K22*K23*K24)/10000)</f>
        <v>0</v>
      </c>
      <c r="L25" s="165" t="s">
        <v>35</v>
      </c>
    </row>
    <row r="26" spans="2:12" s="134" customFormat="1" ht="26.25" thickBot="1">
      <c r="B26" s="141" t="s">
        <v>437</v>
      </c>
      <c r="C26" s="142">
        <v>0.8</v>
      </c>
      <c r="D26" s="176"/>
      <c r="E26" s="196">
        <f t="shared" si="0"/>
        <v>0</v>
      </c>
      <c r="F26" s="143"/>
      <c r="H26" s="867"/>
      <c r="I26" s="156"/>
      <c r="J26" s="168" t="s">
        <v>447</v>
      </c>
      <c r="K26" s="157">
        <f>K25*3.6</f>
        <v>0</v>
      </c>
      <c r="L26" s="166" t="s">
        <v>32</v>
      </c>
    </row>
    <row r="27" spans="2:12" s="134" customFormat="1" ht="12.75">
      <c r="B27" s="141" t="s">
        <v>713</v>
      </c>
      <c r="C27" s="142">
        <v>0.8</v>
      </c>
      <c r="D27" s="176"/>
      <c r="E27" s="196">
        <f t="shared" si="0"/>
        <v>0</v>
      </c>
      <c r="F27" s="143"/>
      <c r="H27" s="243" t="str">
        <f>IF($K$25&lt;=0,"","Achtung:")</f>
        <v/>
      </c>
      <c r="I27" s="155"/>
      <c r="J27" s="167"/>
      <c r="K27" s="245"/>
      <c r="L27" s="246"/>
    </row>
    <row r="28" spans="2:12" s="133" customFormat="1" ht="12.75">
      <c r="B28" s="175" t="s">
        <v>438</v>
      </c>
      <c r="C28" s="142">
        <v>0.8</v>
      </c>
      <c r="D28" s="176"/>
      <c r="E28" s="196">
        <f t="shared" si="0"/>
        <v>0</v>
      </c>
      <c r="F28" s="143"/>
      <c r="G28" s="134"/>
      <c r="H28" s="244" t="str">
        <f>IF($K$25&lt;=0,"","der ermittelte Regenwasserabfluss Qr fließt in die Berechnung des maximalen")</f>
        <v/>
      </c>
      <c r="I28" s="155"/>
      <c r="J28" s="167"/>
      <c r="K28" s="245"/>
      <c r="L28" s="246"/>
    </row>
    <row r="29" spans="2:12" s="133" customFormat="1" ht="12.75">
      <c r="B29" s="175" t="s">
        <v>439</v>
      </c>
      <c r="C29" s="142">
        <v>0.8</v>
      </c>
      <c r="D29" s="176"/>
      <c r="E29" s="196">
        <f t="shared" si="0"/>
        <v>0</v>
      </c>
      <c r="F29" s="143"/>
      <c r="G29" s="134"/>
      <c r="H29" s="244" t="str">
        <f>IF($K$25&lt;=0,"","Abwasserzuflusses Qm ein. Wird dieser Wert als  Auswahlgrundlage einer")</f>
        <v/>
      </c>
      <c r="I29" s="155"/>
      <c r="J29" s="167"/>
      <c r="K29" s="245"/>
      <c r="L29" s="246"/>
    </row>
    <row r="30" spans="2:12" s="133" customFormat="1" ht="12.75">
      <c r="B30" s="175" t="s">
        <v>440</v>
      </c>
      <c r="C30" s="142">
        <v>1.5</v>
      </c>
      <c r="D30" s="176"/>
      <c r="E30" s="196">
        <f t="shared" si="0"/>
        <v>0</v>
      </c>
      <c r="F30" s="143"/>
      <c r="G30" s="134"/>
      <c r="H30" s="244" t="str">
        <f>IF($K$25&lt;=0,"","Hebeanlage verwendet, sind einschlägige Regelwerke (Normen) zu beachten.")</f>
        <v/>
      </c>
      <c r="I30" s="134"/>
      <c r="J30" s="134"/>
      <c r="K30" s="134"/>
      <c r="L30" s="134"/>
    </row>
    <row r="31" spans="2:12" s="133" customFormat="1" ht="12.75">
      <c r="B31" s="175" t="s">
        <v>441</v>
      </c>
      <c r="C31" s="142">
        <v>1.8</v>
      </c>
      <c r="D31" s="176"/>
      <c r="E31" s="196">
        <f t="shared" si="0"/>
        <v>0</v>
      </c>
      <c r="F31" s="143"/>
      <c r="G31" s="134"/>
      <c r="H31" s="134"/>
      <c r="I31" s="134"/>
      <c r="J31" s="134"/>
      <c r="K31" s="134"/>
      <c r="L31" s="134"/>
    </row>
    <row r="32" spans="2:12" s="133" customFormat="1" ht="15.75">
      <c r="B32" s="175" t="s">
        <v>442</v>
      </c>
      <c r="C32" s="142">
        <v>2</v>
      </c>
      <c r="D32" s="176"/>
      <c r="E32" s="196">
        <f t="shared" si="0"/>
        <v>0</v>
      </c>
      <c r="F32" s="143"/>
      <c r="G32" s="134"/>
      <c r="H32" s="182" t="s">
        <v>458</v>
      </c>
      <c r="I32" s="183"/>
      <c r="J32" s="183"/>
      <c r="K32" s="183"/>
      <c r="L32" s="183"/>
    </row>
    <row r="33" spans="2:12" s="133" customFormat="1" ht="16.5" thickBot="1">
      <c r="B33" s="175" t="s">
        <v>443</v>
      </c>
      <c r="C33" s="142">
        <v>2</v>
      </c>
      <c r="D33" s="176"/>
      <c r="E33" s="196">
        <f t="shared" si="0"/>
        <v>0</v>
      </c>
      <c r="F33" s="143"/>
      <c r="G33" s="134"/>
      <c r="H33" s="182"/>
      <c r="I33" s="183"/>
      <c r="J33" s="183"/>
      <c r="K33" s="183"/>
      <c r="L33" s="183"/>
    </row>
    <row r="34" spans="2:12" s="133" customFormat="1" ht="13.5" thickBot="1">
      <c r="B34" s="175" t="s">
        <v>444</v>
      </c>
      <c r="C34" s="142">
        <v>2.5</v>
      </c>
      <c r="D34" s="176"/>
      <c r="E34" s="196">
        <f t="shared" si="0"/>
        <v>0</v>
      </c>
      <c r="F34" s="143"/>
      <c r="G34" s="134"/>
      <c r="H34" s="203" t="s">
        <v>459</v>
      </c>
      <c r="I34" s="204"/>
      <c r="J34" s="204"/>
      <c r="K34" s="205"/>
      <c r="L34" s="206"/>
    </row>
    <row r="35" spans="2:12" s="133" customFormat="1" ht="14.25" thickTop="1" thickBot="1">
      <c r="B35" s="175" t="s">
        <v>714</v>
      </c>
      <c r="C35" s="142">
        <v>0.8</v>
      </c>
      <c r="D35" s="176"/>
      <c r="E35" s="196">
        <f t="shared" si="0"/>
        <v>0</v>
      </c>
      <c r="F35" s="143"/>
      <c r="G35" s="134"/>
      <c r="H35" s="207" t="s">
        <v>214</v>
      </c>
      <c r="I35" s="155"/>
      <c r="J35" s="208" t="s">
        <v>449</v>
      </c>
      <c r="K35" s="174"/>
      <c r="L35" s="209" t="s">
        <v>35</v>
      </c>
    </row>
    <row r="36" spans="2:12" s="133" customFormat="1" ht="13.5" thickBot="1">
      <c r="B36" s="175" t="s">
        <v>445</v>
      </c>
      <c r="C36" s="142">
        <v>1.5</v>
      </c>
      <c r="D36" s="176"/>
      <c r="E36" s="196">
        <f t="shared" si="0"/>
        <v>0</v>
      </c>
      <c r="F36" s="143"/>
      <c r="G36" s="134"/>
      <c r="H36" s="210"/>
      <c r="I36" s="156"/>
      <c r="J36" s="168" t="s">
        <v>42</v>
      </c>
      <c r="K36" s="211">
        <f>K35*3.6</f>
        <v>0</v>
      </c>
      <c r="L36" s="212" t="s">
        <v>32</v>
      </c>
    </row>
    <row r="37" spans="2:12" s="133" customFormat="1" ht="13.5" thickBot="1">
      <c r="B37" s="266" t="s">
        <v>446</v>
      </c>
      <c r="C37" s="213">
        <v>2</v>
      </c>
      <c r="D37" s="179"/>
      <c r="E37" s="214">
        <f t="shared" si="0"/>
        <v>0</v>
      </c>
      <c r="F37" s="215"/>
      <c r="G37" s="134"/>
      <c r="H37" s="134"/>
      <c r="I37" s="134"/>
      <c r="J37" s="134"/>
      <c r="K37" s="134"/>
      <c r="L37" s="134"/>
    </row>
    <row r="38" spans="2:12" s="133" customFormat="1" ht="7.5" customHeight="1" thickTop="1" thickBot="1">
      <c r="B38" s="203"/>
      <c r="C38" s="216"/>
      <c r="D38" s="217"/>
      <c r="E38" s="218"/>
      <c r="F38" s="219"/>
      <c r="G38" s="134"/>
      <c r="I38" s="155"/>
      <c r="J38" s="155"/>
      <c r="K38" s="224"/>
      <c r="L38" s="202"/>
    </row>
    <row r="39" spans="2:12" s="133" customFormat="1" ht="18.75" thickBot="1">
      <c r="B39" s="267" t="s">
        <v>418</v>
      </c>
      <c r="C39" s="220"/>
      <c r="D39" s="167" t="s">
        <v>447</v>
      </c>
      <c r="E39" s="221">
        <f>SUM(E17:E37)</f>
        <v>0</v>
      </c>
      <c r="F39" s="222"/>
      <c r="G39" s="134"/>
      <c r="H39" s="223" t="s">
        <v>460</v>
      </c>
      <c r="I39" s="155"/>
      <c r="J39" s="155"/>
      <c r="K39" s="224"/>
      <c r="L39" s="202"/>
    </row>
    <row r="40" spans="2:12" s="133" customFormat="1" ht="7.5" customHeight="1" thickBot="1">
      <c r="B40" s="225"/>
      <c r="C40" s="220"/>
      <c r="D40" s="217"/>
      <c r="E40" s="226"/>
      <c r="F40" s="222"/>
      <c r="G40" s="134"/>
    </row>
    <row r="41" spans="2:12" s="133" customFormat="1" ht="13.5" thickBot="1">
      <c r="B41" s="207" t="s">
        <v>209</v>
      </c>
      <c r="C41" s="227"/>
      <c r="D41" s="167" t="s">
        <v>447</v>
      </c>
      <c r="E41" s="228" t="str">
        <f>IF(D9="x",C9*SQRT(E39),IF(D10="x",C10*SQRT(E39),IF(D11="x",C11*SQRT(E39),IF(D12="x",C12*SQRT(E39),"Gebäudeart?"))))</f>
        <v>Gebäudeart?</v>
      </c>
      <c r="F41" s="165" t="s">
        <v>35</v>
      </c>
      <c r="G41" s="134"/>
      <c r="H41" s="229" t="s">
        <v>215</v>
      </c>
      <c r="I41" s="204"/>
      <c r="J41" s="230" t="s">
        <v>447</v>
      </c>
      <c r="K41" s="157" t="e">
        <f>E41+K25+K35</f>
        <v>#VALUE!</v>
      </c>
      <c r="L41" s="231" t="s">
        <v>35</v>
      </c>
    </row>
    <row r="42" spans="2:12" s="133" customFormat="1" ht="13.5" thickBot="1">
      <c r="B42" s="232"/>
      <c r="C42" s="233"/>
      <c r="D42" s="234" t="s">
        <v>42</v>
      </c>
      <c r="E42" s="157" t="e">
        <f>E41*3.6</f>
        <v>#VALUE!</v>
      </c>
      <c r="F42" s="166" t="s">
        <v>32</v>
      </c>
      <c r="G42" s="134"/>
      <c r="H42" s="232"/>
      <c r="I42" s="156"/>
      <c r="J42" s="168" t="s">
        <v>42</v>
      </c>
      <c r="K42" s="157" t="e">
        <f>E42+K26+K36</f>
        <v>#VALUE!</v>
      </c>
      <c r="L42" s="166" t="s">
        <v>32</v>
      </c>
    </row>
    <row r="43" spans="2:12" s="133" customFormat="1" ht="7.5" customHeight="1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</row>
    <row r="44" spans="2:12" s="133" customFormat="1" ht="12.75">
      <c r="B44" s="268" t="str">
        <f>CONCATENATE(meldung_66,meldung_80)</f>
        <v>Vervielfältigung und Weitergabe nicht erlaubt. Irrtümer und technische Änderungen vorbehalten. All rights reserved - KSB SE &amp; Co. KGaA- 2022 - ag</v>
      </c>
      <c r="C44" s="235"/>
      <c r="D44" s="235"/>
      <c r="E44" s="235"/>
      <c r="F44" s="235"/>
      <c r="G44" s="235"/>
      <c r="H44" s="235"/>
      <c r="I44" s="235"/>
      <c r="J44" s="326" t="str">
        <f>meldung_81</f>
        <v xml:space="preserve">Druckdatum: </v>
      </c>
      <c r="K44" s="327">
        <f ca="1">TODAY()</f>
        <v>44746</v>
      </c>
      <c r="L44" s="235"/>
    </row>
    <row r="45" spans="2:12" s="133" customFormat="1" ht="7.5" customHeight="1"/>
    <row r="46" spans="2:12" s="133" customFormat="1" ht="12.75" hidden="1"/>
    <row r="47" spans="2:12" s="133" customFormat="1" ht="12.75" hidden="1"/>
    <row r="48" spans="2:12" s="133" customFormat="1" ht="12.75" hidden="1"/>
    <row r="49" spans="8:12" s="133" customFormat="1" ht="12.75"/>
    <row r="50" spans="8:12" s="133" customFormat="1" ht="12.75"/>
    <row r="51" spans="8:12" s="133" customFormat="1" ht="12.75"/>
    <row r="52" spans="8:12" s="133" customFormat="1" ht="12.75"/>
    <row r="53" spans="8:12" s="133" customFormat="1" ht="12.75"/>
    <row r="54" spans="8:12" s="133" customFormat="1" ht="12.75"/>
    <row r="55" spans="8:12" s="133" customFormat="1" ht="7.5" customHeight="1"/>
    <row r="56" spans="8:12" s="133" customFormat="1" ht="12.75"/>
    <row r="57" spans="8:12" s="133" customFormat="1" ht="7.5" customHeight="1"/>
    <row r="58" spans="8:12" s="133" customFormat="1" ht="12.75"/>
    <row r="59" spans="8:12" s="133" customFormat="1" ht="12.75"/>
    <row r="60" spans="8:12" s="133" customFormat="1" ht="12.75">
      <c r="H60" s="135"/>
      <c r="I60" s="135"/>
      <c r="J60" s="135"/>
      <c r="K60" s="135"/>
      <c r="L60" s="135"/>
    </row>
    <row r="61" spans="8:12" s="135" customFormat="1" ht="7.5" customHeight="1"/>
    <row r="62" spans="8:12" s="135" customFormat="1" ht="12.75"/>
    <row r="63" spans="8:12" s="135" customFormat="1" ht="7.5" customHeight="1">
      <c r="H63" s="133"/>
      <c r="I63" s="133"/>
      <c r="J63" s="133"/>
      <c r="K63" s="133"/>
      <c r="L63" s="133"/>
    </row>
    <row r="64" spans="8:12" s="133" customFormat="1" ht="12.75"/>
    <row r="65" spans="8:12" s="133" customFormat="1" ht="12.75"/>
    <row r="66" spans="8:12" s="133" customFormat="1" ht="12.75"/>
    <row r="67" spans="8:12" s="133" customFormat="1" ht="12.75"/>
    <row r="68" spans="8:12" s="133" customFormat="1" ht="12.75"/>
    <row r="69" spans="8:12" s="133" customFormat="1" ht="12.75"/>
    <row r="70" spans="8:12" s="133" customFormat="1" ht="12.75"/>
    <row r="71" spans="8:12" s="133" customFormat="1" ht="12.75">
      <c r="H71" s="136"/>
      <c r="I71" s="136"/>
      <c r="J71" s="136"/>
      <c r="K71" s="136"/>
      <c r="L71" s="136"/>
    </row>
  </sheetData>
  <sheetProtection algorithmName="SHA-512" hashValue="+n8kNtypbZf6fJfAReVw38pb8wCmEIpa7tsrIcIWzfPhSbhPsccA/gm3i9ICDzUUt7tNZYi65sneM+PtyStY4A==" saltValue="ZTOkVKsCLXipRC/Aza3/fQ==" spinCount="100000" sheet="1" objects="1" scenarios="1" selectLockedCells="1"/>
  <mergeCells count="4">
    <mergeCell ref="B2:B4"/>
    <mergeCell ref="E2:L2"/>
    <mergeCell ref="E4:L4"/>
    <mergeCell ref="H25:H26"/>
  </mergeCells>
  <phoneticPr fontId="30" type="noConversion"/>
  <printOptions horizontalCentered="1" verticalCentered="1"/>
  <pageMargins left="0.57999999999999996" right="0.39370078740157483" top="0.39370078740157483" bottom="0.39370078740157483" header="0.51181102362204722" footer="0.51181102362204722"/>
  <pageSetup paperSize="9" scale="98" orientation="landscape" horizontalDpi="4294967294" r:id="rId1"/>
  <headerFooter alignWithMargins="0"/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R47"/>
  <sheetViews>
    <sheetView showGridLines="0" showRowColHeaders="0" tabSelected="1" showOutlineSymbols="0" zoomScale="75" workbookViewId="0">
      <selection activeCell="D7" sqref="D7"/>
    </sheetView>
  </sheetViews>
  <sheetFormatPr baseColWidth="10" defaultRowHeight="14.25"/>
  <cols>
    <col min="1" max="1" width="2.28515625" style="3" customWidth="1"/>
    <col min="2" max="2" width="19.140625" style="1" customWidth="1"/>
    <col min="3" max="3" width="17.42578125" style="2" customWidth="1"/>
    <col min="4" max="4" width="23.5703125" style="3" customWidth="1"/>
    <col min="5" max="5" width="12.28515625" style="3" bestFit="1" customWidth="1"/>
    <col min="6" max="6" width="8.7109375" style="3" customWidth="1"/>
    <col min="7" max="7" width="14.5703125" style="16" customWidth="1"/>
    <col min="8" max="9" width="16.7109375" style="16" customWidth="1"/>
    <col min="10" max="10" width="16.7109375" style="3" customWidth="1"/>
    <col min="11" max="11" width="9.28515625" style="21" customWidth="1"/>
    <col min="12" max="12" width="24" style="16" customWidth="1"/>
    <col min="13" max="13" width="2.140625" style="16" customWidth="1"/>
    <col min="14" max="14" width="11.42578125" style="16"/>
    <col min="15" max="15" width="18.85546875" style="16" customWidth="1"/>
    <col min="16" max="16" width="20.140625" style="3" bestFit="1" customWidth="1"/>
    <col min="17" max="16384" width="11.42578125" style="3"/>
  </cols>
  <sheetData>
    <row r="1" spans="1:18" ht="8.25" customHeight="1">
      <c r="L1" s="48"/>
      <c r="M1" s="6"/>
    </row>
    <row r="2" spans="1:18" ht="20.25" customHeight="1">
      <c r="B2" s="857" t="s">
        <v>462</v>
      </c>
      <c r="C2" s="889"/>
      <c r="D2" s="110" t="s">
        <v>463</v>
      </c>
      <c r="E2" s="872">
        <f>Qm!E2</f>
        <v>0</v>
      </c>
      <c r="F2" s="873"/>
      <c r="G2" s="873"/>
      <c r="H2" s="873"/>
      <c r="I2" s="873"/>
      <c r="J2" s="873"/>
      <c r="K2" s="873"/>
      <c r="L2" s="874"/>
      <c r="M2" s="239"/>
    </row>
    <row r="3" spans="1:18" ht="20.25" customHeight="1">
      <c r="B3" s="858"/>
      <c r="C3" s="890"/>
      <c r="D3" s="111" t="s">
        <v>464</v>
      </c>
      <c r="E3" s="892">
        <f ca="1">Qm!E3</f>
        <v>44746.443169212966</v>
      </c>
      <c r="F3" s="893"/>
      <c r="G3" s="270" t="s">
        <v>465</v>
      </c>
      <c r="H3" s="152">
        <f>Qm!H3</f>
        <v>1</v>
      </c>
      <c r="I3" s="269" t="s">
        <v>466</v>
      </c>
      <c r="J3" s="137" t="str">
        <f>IF(OR(ISBLANK(Qm!J3),Qm!J3=0),"",Qm!J3)</f>
        <v/>
      </c>
      <c r="K3" s="152" t="str">
        <f>IF(OR(ISBLANK(Qm!K3),Qm!J3=0),"",Qm!K3)</f>
        <v/>
      </c>
      <c r="L3" s="144"/>
      <c r="M3" s="240"/>
    </row>
    <row r="4" spans="1:18" ht="19.5" customHeight="1">
      <c r="A4" s="49"/>
      <c r="B4" s="859"/>
      <c r="C4" s="891"/>
      <c r="D4" s="112" t="s">
        <v>467</v>
      </c>
      <c r="E4" s="869">
        <f>Qm!E4</f>
        <v>0</v>
      </c>
      <c r="F4" s="870"/>
      <c r="G4" s="870"/>
      <c r="H4" s="870"/>
      <c r="I4" s="870"/>
      <c r="J4" s="870"/>
      <c r="K4" s="870"/>
      <c r="L4" s="871"/>
      <c r="M4" s="239"/>
    </row>
    <row r="5" spans="1:18" ht="9.75" customHeight="1" thickBot="1">
      <c r="A5" s="49"/>
      <c r="B5" s="98"/>
      <c r="C5" s="63"/>
      <c r="D5" s="49"/>
      <c r="E5" s="49"/>
      <c r="F5" s="49"/>
      <c r="G5" s="49"/>
      <c r="H5" s="99"/>
      <c r="I5" s="99"/>
      <c r="J5" s="99"/>
      <c r="K5" s="100"/>
      <c r="L5" s="101"/>
      <c r="M5" s="4"/>
      <c r="N5" s="4"/>
      <c r="O5" s="4"/>
      <c r="P5" s="4"/>
      <c r="Q5" s="5"/>
    </row>
    <row r="6" spans="1:18" ht="17.25" customHeight="1" thickTop="1" thickBot="1">
      <c r="B6" s="894" t="str">
        <f>CONCATENATE("Qi ",meldung_31)</f>
        <v>Qi Abwasserzufluss</v>
      </c>
      <c r="C6" s="903" t="s">
        <v>40</v>
      </c>
      <c r="D6" s="130" t="e">
        <f>IF(AND(ISNUMBER(D7)=TRUE,D7&gt;0),0,Qm!K41)</f>
        <v>#VALUE!</v>
      </c>
      <c r="E6" s="319" t="str">
        <f>meldung_59</f>
        <v>aut. Verknüpfung mit Qm</v>
      </c>
      <c r="F6" s="8"/>
      <c r="G6" s="2"/>
      <c r="H6" s="2"/>
      <c r="M6" s="6"/>
      <c r="N6" s="6"/>
      <c r="O6" s="6"/>
      <c r="P6" s="7"/>
      <c r="Q6" s="5"/>
    </row>
    <row r="7" spans="1:18" ht="17.25" thickTop="1" thickBot="1">
      <c r="B7" s="895"/>
      <c r="C7" s="904"/>
      <c r="D7" s="39"/>
      <c r="E7" s="319" t="str">
        <f>meldung_60</f>
        <v>alt. manuelle Eingabe</v>
      </c>
      <c r="F7" s="320"/>
      <c r="G7" s="316" t="str">
        <f>IF(OR(ISERROR(max_qz_qp),ISERROR(qzulauf&gt;=max_qz_qp*MAX(qmax_f1,qmax_f2,qmax_f3,qmax_f4,qmax_f5))),meldung_18,"")</f>
        <v>Qzul max = 16,5 [l/s]!</v>
      </c>
      <c r="H7" s="2"/>
      <c r="M7" s="6"/>
      <c r="N7" s="6"/>
      <c r="O7" s="6"/>
      <c r="P7" s="6"/>
      <c r="Q7" s="5"/>
    </row>
    <row r="8" spans="1:18" ht="16.5" thickTop="1" thickBot="1">
      <c r="B8" s="896"/>
      <c r="C8" s="9" t="s">
        <v>41</v>
      </c>
      <c r="D8" s="59" t="e">
        <f>IF(AND(ISNUMBER(D6)=TRUE,D6&gt;0),D6/qumrmhinls,D7/qumrmhinls)</f>
        <v>#VALUE!</v>
      </c>
      <c r="E8" s="321" t="str">
        <f>meldung_58</f>
        <v>Berechnung</v>
      </c>
      <c r="F8" s="317" t="str">
        <f>IF(OR(ISERROR(max_qz_qp),ISERROR(qzulauf&gt;=max_qz_qp*MAX(qmax_f1,qmax_f2,qmax_f3,qmax_f4,qmax_f5))),meldung_78,"")</f>
        <v>! Weitere Anlagen im KSB EASY-Select!</v>
      </c>
      <c r="G8" s="2"/>
      <c r="H8" s="2"/>
      <c r="M8" s="6"/>
      <c r="N8" s="6"/>
      <c r="O8" s="6"/>
      <c r="P8" s="6"/>
      <c r="Q8" s="5"/>
    </row>
    <row r="9" spans="1:18" ht="21" thickTop="1" thickBot="1">
      <c r="B9" s="47" t="s">
        <v>47</v>
      </c>
      <c r="C9" s="899" t="s">
        <v>46</v>
      </c>
      <c r="D9" s="39"/>
      <c r="E9" s="319" t="str">
        <f>IF(ISBLANK(fh_geo)=TRUE,meldung_28,"OK")</f>
        <v>Eingabe:</v>
      </c>
      <c r="F9" s="315" t="str">
        <f>IF(ldl&lt;fh_geo,meldung_77,"")</f>
        <v/>
      </c>
      <c r="G9" s="2"/>
      <c r="H9" s="2"/>
      <c r="M9" s="6"/>
      <c r="N9" s="6"/>
      <c r="O9" s="6"/>
      <c r="P9" s="6"/>
      <c r="Q9" s="7"/>
    </row>
    <row r="10" spans="1:18" ht="20.25" customHeight="1" thickTop="1" thickBot="1">
      <c r="B10" s="57" t="s">
        <v>911</v>
      </c>
      <c r="C10" s="900"/>
      <c r="D10" s="39"/>
      <c r="E10" s="324" t="str">
        <f>IF(ISERROR(laufrad_ist),meldung_79,IF(qzulauf/qpumpe_bp&gt;max_qz_qp,meldung_79,kalk!F41))</f>
        <v>max. Wert Qi/Qp überschritten!!!</v>
      </c>
      <c r="F10" s="320"/>
      <c r="G10" s="2"/>
      <c r="H10" s="2"/>
      <c r="M10" s="6"/>
      <c r="N10" s="6"/>
      <c r="O10" s="6"/>
      <c r="P10" s="6"/>
      <c r="Q10" s="11"/>
    </row>
    <row r="11" spans="1:18" ht="20.25" customHeight="1" thickTop="1" thickBot="1">
      <c r="B11" s="30" t="s">
        <v>48</v>
      </c>
      <c r="C11" s="901"/>
      <c r="D11" s="60">
        <f>fh_geo+fh_verl</f>
        <v>0</v>
      </c>
      <c r="E11" s="321" t="str">
        <f>meldung_58</f>
        <v>Berechnung</v>
      </c>
      <c r="F11" s="8"/>
      <c r="G11" s="2"/>
      <c r="H11" s="2"/>
      <c r="M11" s="12"/>
      <c r="N11" s="13"/>
      <c r="O11" s="13"/>
      <c r="P11" s="12"/>
      <c r="Q11" s="11"/>
      <c r="R11" s="14"/>
    </row>
    <row r="12" spans="1:18" ht="17.25" thickTop="1" thickBot="1">
      <c r="B12" s="405" t="str">
        <f>meldung_32</f>
        <v>Druckleitungslänge</v>
      </c>
      <c r="C12" s="15" t="s">
        <v>72</v>
      </c>
      <c r="D12" s="39"/>
      <c r="E12" s="319" t="str">
        <f>IF(ISBLANK(ldl)=TRUE,CONCATENATE(meldung_28),"OK")</f>
        <v>Eingabe:</v>
      </c>
      <c r="F12" s="902" t="str">
        <f>IF(ISNA(zulauf_ermittelt)=TRUE,meldung_5,IF(OR(info_nutzvolumen=TRUE,zulauf_ermittelt=meldung_5)=TRUE,meldung_5,IF(ISNA(zulauf_ermittelt)=TRUE,meldung_5,"")))</f>
        <v>Behälter? s. Hinweis!</v>
      </c>
      <c r="G12" s="902"/>
      <c r="H12" s="2"/>
      <c r="P12" s="16"/>
      <c r="R12" s="14"/>
    </row>
    <row r="13" spans="1:18" ht="15.75" customHeight="1" thickTop="1">
      <c r="B13" s="897" t="str">
        <f>CONCATENATE("QP
","(",meldung_33,")")</f>
        <v>QP
(Pumpe)</v>
      </c>
      <c r="C13" s="15" t="s">
        <v>40</v>
      </c>
      <c r="D13" s="61" t="str">
        <f>IF(ISERROR(qpumpe_bp*qumrmhinls),"",qpumpe_bp*qumrmhinls)</f>
        <v/>
      </c>
      <c r="E13" s="321" t="str">
        <f>meldung_42</f>
        <v>Ergebnis / Info:</v>
      </c>
      <c r="F13" s="320"/>
      <c r="G13" s="2"/>
      <c r="H13" s="2"/>
      <c r="P13" s="16"/>
    </row>
    <row r="14" spans="1:18" ht="15.75" thickBot="1">
      <c r="B14" s="898"/>
      <c r="C14" s="15" t="s">
        <v>41</v>
      </c>
      <c r="D14" s="62" t="str">
        <f>IF(ISERROR(qpumpe_bp),"",qpumpe_bp)</f>
        <v/>
      </c>
      <c r="E14" s="321" t="str">
        <f>meldung_58</f>
        <v>Berechnung</v>
      </c>
      <c r="F14" s="322" t="str">
        <f>IF(ISERROR(laufrad_ist),meldung_79,IF(qzulauf/qpumpe_bp&gt;max_qz_qp,meldung_79,IF(fmenge&gt;=qmax_laufrad_ist,meldung_14,"")))</f>
        <v>max. Wert Qi/Qp überschritten!!!</v>
      </c>
      <c r="G14" s="2"/>
      <c r="H14" s="2"/>
      <c r="P14" s="16"/>
    </row>
    <row r="15" spans="1:18" ht="17.25" thickTop="1" thickBot="1">
      <c r="B15" s="10" t="str">
        <f>meldung_34</f>
        <v>Druckleitung *</v>
      </c>
      <c r="C15" s="27" t="s">
        <v>775</v>
      </c>
      <c r="D15" s="373">
        <v>80</v>
      </c>
      <c r="E15" s="319" t="str">
        <f>IF(ISBLANK(dn)=TRUE,meldung_28,IF(AND(laufrad_form="S",OR(dn=80,dn=100,dn=125,dn=150)),meldung_91,IF(AND(laufrad_form="F",OR(dn=32,dn=50)),meldung_91,"OK")))</f>
        <v>OK</v>
      </c>
      <c r="F15" s="46" t="str">
        <f>IF(ISERROR(laufrad_ist),meldung_79,IF(qzulauf/qpumpe_bp&gt;max_qz_qp,meldung_79,IF(F32=" ",qmax_dn_info,qmin_dn_info)))</f>
        <v>max. Wert Qi/Qp überschritten!!!</v>
      </c>
      <c r="G15" s="2"/>
      <c r="H15" s="2"/>
      <c r="N15" s="17"/>
      <c r="O15" s="17"/>
      <c r="P15" s="17"/>
    </row>
    <row r="16" spans="1:18" ht="17.25" thickTop="1" thickBot="1">
      <c r="B16" s="10" t="str">
        <f>meldung_35</f>
        <v>Zeta "gesamt"</v>
      </c>
      <c r="C16" s="15" t="str">
        <f>meldung_40</f>
        <v>Normanlage!!!</v>
      </c>
      <c r="D16" s="39">
        <v>6.7</v>
      </c>
      <c r="E16" s="319" t="str">
        <f>IF(ISBLANK(D16)=TRUE,meldung_28,"OK")</f>
        <v>OK</v>
      </c>
      <c r="F16" s="8"/>
      <c r="G16" s="2"/>
      <c r="H16" s="2"/>
      <c r="M16" s="17"/>
      <c r="N16" s="17"/>
      <c r="O16" s="17"/>
      <c r="P16" s="17"/>
    </row>
    <row r="17" spans="2:16" ht="17.25" thickTop="1" thickBot="1">
      <c r="B17" s="10" t="str">
        <f>meldung_36</f>
        <v>Vertikaler Zulauf</v>
      </c>
      <c r="C17" s="28" t="str">
        <f>meldung_41</f>
        <v>ja/nein</v>
      </c>
      <c r="D17" s="374" t="s">
        <v>796</v>
      </c>
      <c r="E17" s="319" t="str">
        <f>IF(ISBLANK(vzulauf)=TRUE,meldung_28,"OK")</f>
        <v>OK</v>
      </c>
      <c r="F17" s="2"/>
      <c r="G17" s="2"/>
      <c r="H17" s="2"/>
      <c r="N17" s="17"/>
      <c r="O17" s="17"/>
      <c r="P17" s="17"/>
    </row>
    <row r="18" spans="2:16" ht="17.25" thickTop="1" thickBot="1">
      <c r="B18" s="30" t="str">
        <f>meldung_37</f>
        <v>Netzspannung</v>
      </c>
      <c r="C18" s="31" t="s">
        <v>99</v>
      </c>
      <c r="D18" s="375">
        <v>400</v>
      </c>
      <c r="E18" s="319" t="str">
        <f>IF(OR(ISBLANK(spannung)=TRUE,ISNUMBER(spannung)=FALSE),meldung_28,"OK")</f>
        <v>OK</v>
      </c>
      <c r="F18" s="323" t="str">
        <f>IF(AND(ISNA(VLOOKUP(CONCATENATE(kalk!D38,"_",spannung),kalk!A97:D118,4,FALSE))=TRUE,ISBLANK(F15))=TRUE,meldung_11,"")</f>
        <v/>
      </c>
      <c r="G18" s="2"/>
      <c r="H18" s="2"/>
      <c r="N18" s="17"/>
      <c r="O18" s="17"/>
      <c r="P18" s="17"/>
    </row>
    <row r="19" spans="2:16" ht="17.25" customHeight="1" thickTop="1" thickBot="1">
      <c r="B19" s="30" t="s">
        <v>891</v>
      </c>
      <c r="C19" s="28" t="s">
        <v>892</v>
      </c>
      <c r="D19" s="375" t="s">
        <v>893</v>
      </c>
      <c r="F19" s="2"/>
      <c r="G19" s="510" t="e">
        <f>IF(kalk!F31=TRUE,meldung_89,"")</f>
        <v>#VALUE!</v>
      </c>
      <c r="H19" s="510"/>
      <c r="I19" s="510"/>
      <c r="J19" s="510"/>
      <c r="K19" s="510"/>
      <c r="L19" s="510"/>
      <c r="M19" s="17"/>
      <c r="N19" s="17"/>
      <c r="O19" s="17"/>
      <c r="P19" s="17"/>
    </row>
    <row r="20" spans="2:16" ht="15" customHeight="1" thickTop="1" thickBot="1">
      <c r="B20" s="30" t="str">
        <f>meldung_38</f>
        <v>Laufradform</v>
      </c>
      <c r="C20" s="76" t="s">
        <v>776</v>
      </c>
      <c r="D20" s="375" t="s">
        <v>929</v>
      </c>
      <c r="E20" s="319" t="str">
        <f>IF(AND(laufrad_form="S",anlage_werkstoff="C")=TRUE,meldung_94,"OK")</f>
        <v>OK</v>
      </c>
      <c r="F20" s="2"/>
      <c r="G20" s="510"/>
      <c r="H20" s="510"/>
      <c r="I20" s="510"/>
      <c r="J20" s="510"/>
      <c r="K20" s="510"/>
      <c r="L20" s="510"/>
      <c r="N20" s="17"/>
      <c r="O20" s="17"/>
      <c r="P20" s="17"/>
    </row>
    <row r="21" spans="2:16" ht="15" customHeight="1" thickTop="1" thickBot="1">
      <c r="B21" s="30" t="str">
        <f>meldung_39</f>
        <v>Doppelanlage</v>
      </c>
      <c r="C21" s="28" t="str">
        <f>meldung_41</f>
        <v>ja/nein</v>
      </c>
      <c r="D21" s="375" t="s">
        <v>936</v>
      </c>
      <c r="E21" s="319" t="str">
        <f>IF(ISBLANK(anlagen_art_duo)=TRUE,meldung_28,"OK")</f>
        <v>OK</v>
      </c>
      <c r="F21" s="2"/>
      <c r="G21" s="376"/>
      <c r="H21" s="376"/>
      <c r="I21" s="376"/>
      <c r="J21" s="376"/>
      <c r="K21" s="376"/>
      <c r="L21" s="376"/>
      <c r="N21" s="17"/>
      <c r="O21" s="17"/>
      <c r="P21" s="17"/>
    </row>
    <row r="22" spans="2:16" ht="18" thickTop="1">
      <c r="B22" s="58" t="str">
        <f>meldung_42</f>
        <v>Ergebnis / Info:</v>
      </c>
      <c r="E22" s="29"/>
      <c r="G22" s="3"/>
      <c r="N22" s="17"/>
      <c r="O22" s="17"/>
      <c r="P22" s="17"/>
    </row>
    <row r="23" spans="2:16">
      <c r="B23" s="52" t="str">
        <f>IF(laufrad_form="S",meldung_93,meldung_43)</f>
        <v xml:space="preserve">* Mindestnennweite  für Anlagen ohne Fäkalienzerkleinerung beträgt 80 mm - EN 12056-4 </v>
      </c>
      <c r="C23" s="37"/>
      <c r="D23" s="38"/>
      <c r="E23" s="38"/>
      <c r="F23" s="38"/>
      <c r="G23" s="3"/>
      <c r="P23" s="17"/>
    </row>
    <row r="24" spans="2:16">
      <c r="B24" s="119" t="str">
        <f>IF(ISERROR(laufrad_ist),meldung_79,IF(qzulauf/qpumpe_bp&gt;max_qz_qp,meldung_79,CONCATENATE(meldung_55," ",ROUNDUP(hydr_verl,2)," ",meldung_56)))</f>
        <v>max. Wert Qi/Qp überschritten!!!</v>
      </c>
      <c r="C24" s="53"/>
      <c r="D24" s="54"/>
      <c r="E24" s="54"/>
      <c r="F24" s="54"/>
      <c r="G24" s="3"/>
      <c r="N24" s="18"/>
      <c r="O24" s="18"/>
      <c r="P24" s="17"/>
    </row>
    <row r="25" spans="2:16">
      <c r="B25" s="120" t="str">
        <f>IF(ISERROR(laufrad_ist),meldung_79,IF(qzulauf/qpumpe_bp&gt;max_qz_qp,meldung_79,CONCATENATE(" Zeta= ",zeta_gesamt," , Q=",ROUNDUP(qpumpe_bp,1)," m³/h ; DN= ",dn,", ",meldung_57,ROUNDDOWN(rel_schalt*100,0),"%",",   Qi/Qp = ",ROUNDDOWN((qzulauf/qpumpe_bp),2))))</f>
        <v>max. Wert Qi/Qp überschritten!!!</v>
      </c>
      <c r="C25" s="55"/>
      <c r="D25" s="56"/>
      <c r="E25" s="56"/>
      <c r="F25" s="56"/>
      <c r="G25" s="3"/>
      <c r="M25" s="17"/>
      <c r="N25" s="17"/>
      <c r="O25" s="17"/>
      <c r="P25" s="17"/>
    </row>
    <row r="26" spans="2:16">
      <c r="B26" s="315" t="str">
        <f>IF(ldl&lt;fh_geo,CONCATENATE(meldung_76),"")</f>
        <v/>
      </c>
      <c r="C26" s="314"/>
      <c r="G26" s="3"/>
      <c r="M26" s="17"/>
      <c r="N26" s="17"/>
      <c r="O26" s="17"/>
      <c r="P26" s="17"/>
    </row>
    <row r="27" spans="2:16">
      <c r="B27" s="236" t="str">
        <f>IF(ISERROR(laufrad_ist),meldung_79,IF(qzulauf/qpumpe_bp&gt;max_qz_qp,meldung_79,IF(fmenge&gt;=qmax_laufrad_ist,meldung_14,"")))</f>
        <v>max. Wert Qi/Qp überschritten!!!</v>
      </c>
      <c r="C27" s="63"/>
      <c r="D27" s="49"/>
      <c r="G27" s="3"/>
      <c r="M27" s="17"/>
      <c r="N27" s="17"/>
      <c r="O27" s="17"/>
      <c r="P27" s="17"/>
    </row>
    <row r="28" spans="2:16" ht="15">
      <c r="B28" s="237" t="str">
        <f>info_spannung</f>
        <v/>
      </c>
      <c r="G28" s="3"/>
      <c r="M28" s="26"/>
      <c r="P28" s="16"/>
    </row>
    <row r="29" spans="2:16">
      <c r="B29" s="238" t="str">
        <f>IF(F12=meldung_5,CONCATENATE(meldung_27," ",meldung_12," "," / ",meldung_13," / ",meldung_92,"  "),"")</f>
        <v xml:space="preserve">Vorschlag: kleinere DN  / Doppelanlage "ja" / andere Laufradform wählen, bitte.  </v>
      </c>
      <c r="G29" s="3"/>
      <c r="P29" s="16"/>
    </row>
    <row r="30" spans="2:16" ht="15.75" customHeight="1">
      <c r="B30" s="238" t="str">
        <f>IF(F12=meldung_5,CONCATENATE(meldung_27," ",meldung_16," ",meldung_29,"  ",meldung_17),"")</f>
        <v>Vorschlag: druckseitige Leitung verkürzen oder  vertikaler Zulauf "ja"</v>
      </c>
      <c r="G30" s="3"/>
      <c r="P30" s="16"/>
    </row>
    <row r="31" spans="2:16" ht="20.25">
      <c r="B31" s="17" t="str">
        <f>meldung_44</f>
        <v>Zulässige Einsatzgrenze der Anlage</v>
      </c>
      <c r="C31" s="25"/>
      <c r="G31" s="3"/>
      <c r="P31" s="16"/>
    </row>
    <row r="32" spans="2:16" ht="14.25" customHeight="1">
      <c r="B32" s="24"/>
      <c r="C32" s="19" t="str">
        <f>CONCATENATE("Qmin= ",ROUNDUP(MAX(IF(kalk!D31="1",qmin_f1,qmin_f2),qmin_allg),1)," m³/h")</f>
        <v>Qmin= 12,6 m³/h</v>
      </c>
      <c r="F32" s="3" t="str">
        <f>IF(ISERROR(qmin_dn_info),"",qmin_dn_info)</f>
        <v/>
      </c>
      <c r="G32" s="3"/>
      <c r="P32" s="16"/>
    </row>
    <row r="33" spans="1:16" ht="15">
      <c r="B33" s="24"/>
      <c r="C33" s="318" t="str">
        <f>IF(ISERROR(laufrad_ist),meldung_79,IF(qzulauf/qpumpe_bp&gt;max_qz_qp,CONCATENATE("Qmax= ",ROUNDUP(MIN(qmax_laufrad_ist,qmax_allg),1)," m³/h ","!!!",meldung_79),CONCATENATE("Qmax= ",ROUNDUP(MIN(qmax_laufrad_ist,qmax_allg),1)," m³/h")))</f>
        <v>max. Wert Qi/Qp überschritten!!!</v>
      </c>
      <c r="F33" s="51" t="str">
        <f>IF(ISERROR(qmax_dn_info),"",qmax_dn_info)</f>
        <v/>
      </c>
      <c r="G33" s="3"/>
      <c r="P33" s="16"/>
    </row>
    <row r="34" spans="1:16" ht="18" customHeight="1">
      <c r="B34" s="338" t="str">
        <f>meldung_45</f>
        <v>Unsere Empfehlung:</v>
      </c>
      <c r="C34" s="25"/>
      <c r="D34" s="337" t="e">
        <f>IF(OR(ISERROR(anl_bez),anl_bez=""),meldung_78,CONCATENATE(name_," ",anl_bez))</f>
        <v>#VALUE!</v>
      </c>
      <c r="G34" s="3"/>
      <c r="P34" s="16"/>
    </row>
    <row r="35" spans="1:16" ht="18.75" customHeight="1" thickBot="1">
      <c r="B35" s="336" t="str">
        <f ca="1">IF(ISTEXT(Meldung_LU)=TRUE,CONCATENATE(meldung_30," ",meldung_82," ", meldung_2),IF(ISNA(zulauf_ermittelt)=TRUE,CONCATENATE(meldung_30," ",meldung_2),IF(OR(info_nutzvolumen=TRUE,zulauf_ermittelt=meldung_5)=TRUE,CONCATENATE(meldung_30," ",meldung_2),IF(ISNA(zulauf_ermittelt)=TRUE,CONCATENATE(meldung_30," ",meldung_2)," "))))</f>
        <v>Achtung: Bitte Kontakt mit Ihrem KSB-Betreuer aufnehmen!</v>
      </c>
      <c r="C35" s="68"/>
      <c r="D35" s="68"/>
      <c r="E35" s="68"/>
      <c r="F35" s="68"/>
      <c r="G35" s="3"/>
      <c r="P35" s="16"/>
    </row>
    <row r="36" spans="1:16" ht="20.100000000000001" customHeight="1" thickTop="1">
      <c r="B36" s="22" t="str">
        <f>meldung_46</f>
        <v>Hydraulikgröße</v>
      </c>
      <c r="C36" s="32"/>
      <c r="D36" s="23" t="str">
        <f>IF(ISERROR(IF(laufrad_form="F",CONCATENATE("F",kalk!D35),CONCATENATE("S",kalk!D35))),"",IF(laufrad_form="F",CONCATENATE("F",kalk!D35),CONCATENATE("S",kalk!D35)))</f>
        <v/>
      </c>
      <c r="E36" s="877" t="str">
        <f>meldung_68</f>
        <v>KSB-Identnummer</v>
      </c>
      <c r="F36" s="878"/>
      <c r="G36" s="3"/>
      <c r="P36" s="16"/>
    </row>
    <row r="37" spans="1:16" ht="20.100000000000001" customHeight="1">
      <c r="B37" s="33" t="str">
        <f>meldung_47</f>
        <v>Anlagengröße</v>
      </c>
      <c r="C37" s="34"/>
      <c r="D37" s="35" t="str">
        <f>anl_bez</f>
        <v>!!!</v>
      </c>
      <c r="E37" s="875" t="e">
        <f>id_no</f>
        <v>#N/A</v>
      </c>
      <c r="F37" s="876"/>
      <c r="G37" s="3"/>
      <c r="P37" s="16"/>
    </row>
    <row r="38" spans="1:16" ht="20.100000000000001" customHeight="1">
      <c r="B38" s="33" t="str">
        <f>meldung_48</f>
        <v>Anschlußhöhe ** [mm]</v>
      </c>
      <c r="C38" s="34"/>
      <c r="D38" s="44" t="str">
        <f>kalk!D48</f>
        <v>Angaben prüfen!</v>
      </c>
      <c r="E38" s="879" t="e">
        <f ca="1">IF(TODAY()&gt;VALUE(kalk!B3),"",pr_brutto_07_euro)</f>
        <v>#N/A</v>
      </c>
      <c r="F38" s="880"/>
      <c r="G38" s="3"/>
      <c r="P38" s="16"/>
    </row>
    <row r="39" spans="1:16" ht="20.100000000000001" customHeight="1">
      <c r="B39" s="41" t="str">
        <f>meldung_49</f>
        <v>Nutzvolumen [dm³]</v>
      </c>
      <c r="C39" s="42"/>
      <c r="D39" s="43" t="str">
        <f>IF(ISERROR(nutzvolumen_ist),"",nutzvolumen_ist)</f>
        <v/>
      </c>
      <c r="E39" s="885" t="str">
        <f>meldung_69</f>
        <v>Stand - Preis</v>
      </c>
      <c r="F39" s="886"/>
      <c r="G39" s="3"/>
      <c r="J39" s="16"/>
      <c r="K39" s="3"/>
      <c r="L39" s="21"/>
      <c r="M39" s="17"/>
      <c r="N39" s="17"/>
      <c r="O39" s="17"/>
      <c r="P39" s="17"/>
    </row>
    <row r="40" spans="1:16" ht="18.75" thickBot="1">
      <c r="B40" s="45" t="str">
        <f>CONCATENATE(meldung_50," ",dn," ",meldung_51)</f>
        <v>Druckleitungslänge DN 80 max. [m]</v>
      </c>
      <c r="C40" s="36"/>
      <c r="D40" s="40" t="str">
        <f>IF(ISERROR(ldl_max),"",ldl_max)</f>
        <v/>
      </c>
      <c r="E40" s="887" t="str">
        <f ca="1">IF(TODAY()&gt;VALUE(kalk!B3),meldung_82,"01.07.2022")</f>
        <v>01.07.2022</v>
      </c>
      <c r="F40" s="888"/>
      <c r="G40" s="3"/>
      <c r="H40" s="20"/>
      <c r="J40" s="16"/>
      <c r="K40" s="3"/>
      <c r="L40" s="21"/>
      <c r="M40" s="17"/>
      <c r="N40" s="17"/>
      <c r="O40" s="17"/>
      <c r="P40" s="17"/>
    </row>
    <row r="41" spans="1:16" ht="18.75" thickTop="1">
      <c r="B41" s="4"/>
      <c r="C41" s="291"/>
      <c r="D41" s="292" t="str">
        <f>meldung_70</f>
        <v>Zubehörpreis</v>
      </c>
      <c r="E41" s="881">
        <f ca="1">IF(TODAY()&gt;VALUE(kalk!B3),"",Zubehör!K45)</f>
        <v>0</v>
      </c>
      <c r="F41" s="882"/>
      <c r="G41" s="3"/>
      <c r="H41" s="20"/>
      <c r="J41" s="16"/>
      <c r="K41" s="3"/>
      <c r="L41" s="21"/>
      <c r="M41" s="17"/>
      <c r="N41" s="17"/>
      <c r="O41" s="17"/>
      <c r="P41" s="17"/>
    </row>
    <row r="42" spans="1:16" ht="18.75" thickBot="1">
      <c r="B42" s="4"/>
      <c r="C42" s="291"/>
      <c r="D42" s="293" t="str">
        <f>meldung_71</f>
        <v>Gesamtpreis</v>
      </c>
      <c r="E42" s="883" t="e">
        <f ca="1">IF(TODAY()&gt;VALUE(kalk!B3),"",E38+E41)</f>
        <v>#N/A</v>
      </c>
      <c r="F42" s="884"/>
      <c r="G42" s="3"/>
      <c r="H42" s="20"/>
      <c r="J42" s="16"/>
      <c r="K42" s="3"/>
      <c r="L42" s="21"/>
      <c r="M42" s="17"/>
      <c r="N42" s="17"/>
      <c r="O42" s="17"/>
      <c r="P42" s="17"/>
    </row>
    <row r="43" spans="1:16" ht="18.75" thickTop="1">
      <c r="D43" s="248"/>
      <c r="E43" s="304"/>
      <c r="F43" s="304"/>
      <c r="G43" s="3"/>
      <c r="H43" s="20"/>
      <c r="J43" s="16"/>
      <c r="K43" s="3"/>
      <c r="L43" s="21"/>
      <c r="P43" s="16"/>
    </row>
    <row r="44" spans="1:16">
      <c r="B44" s="303" t="str">
        <f>meldung_63</f>
        <v>** die empfohlene Anschlußhöhe versteht sich als "die tiefste  Anschlussmöglichkeit"</v>
      </c>
      <c r="G44" s="3"/>
      <c r="H44" s="868" t="str">
        <f>meldung_65</f>
        <v>Die Pumpenkennlinie gilt nicht als Garantiekennlinie!</v>
      </c>
      <c r="I44" s="868"/>
      <c r="J44" s="868"/>
      <c r="K44" s="868"/>
      <c r="L44" s="868"/>
      <c r="P44" s="16"/>
    </row>
    <row r="45" spans="1:16">
      <c r="B45" s="1" t="str">
        <f>meldung_64</f>
        <v xml:space="preserve">   die aus der "Volumenbetrachtung" der Druckleitung resultiert.</v>
      </c>
      <c r="C45" s="63"/>
      <c r="D45" s="49"/>
      <c r="E45" s="49"/>
      <c r="F45" s="49"/>
      <c r="G45" s="48"/>
      <c r="H45" s="48"/>
      <c r="I45" s="48"/>
      <c r="J45" s="49"/>
      <c r="K45" s="50"/>
      <c r="L45" s="48"/>
    </row>
    <row r="46" spans="1:16">
      <c r="A46" s="64"/>
      <c r="B46" s="75" t="str">
        <f>CONCATENATE(meldung_66,meldung_80)</f>
        <v>Vervielfältigung und Weitergabe nicht erlaubt. Irrtümer und technische Änderungen vorbehalten. All rights reserved - KSB SE &amp; Co. KGaA- 2022 - ag</v>
      </c>
      <c r="C46" s="75"/>
      <c r="D46" s="75"/>
      <c r="E46" s="75"/>
      <c r="F46" s="75"/>
      <c r="G46" s="109"/>
      <c r="H46" s="109"/>
      <c r="I46" s="109"/>
      <c r="J46" s="50"/>
      <c r="K46" s="107" t="str">
        <f>meldung_67</f>
        <v>berechnet am:</v>
      </c>
      <c r="L46" s="108">
        <f ca="1">TODAY()</f>
        <v>44746</v>
      </c>
    </row>
    <row r="47" spans="1:16">
      <c r="J47" s="305"/>
      <c r="K47" s="306"/>
      <c r="L47" s="307"/>
      <c r="M47" s="307"/>
    </row>
  </sheetData>
  <sheetProtection algorithmName="SHA-512" hashValue="xRNCiomlH4wCDBdTb/6s7H7V3DWbvfNteWLlvxOgrbL1heiFKEwslEDVV2D0pNfFAHjjzViDnjN1BX0Uj6PCxg==" saltValue="aNphJdhNSpspqOErHIGdvA==" spinCount="100000" sheet="1" objects="1" scenarios="1" selectLockedCells="1"/>
  <dataConsolidate/>
  <mergeCells count="17">
    <mergeCell ref="B2:C4"/>
    <mergeCell ref="E3:F3"/>
    <mergeCell ref="B6:B8"/>
    <mergeCell ref="B13:B14"/>
    <mergeCell ref="C9:C11"/>
    <mergeCell ref="F12:G12"/>
    <mergeCell ref="C6:C7"/>
    <mergeCell ref="H44:L44"/>
    <mergeCell ref="E4:L4"/>
    <mergeCell ref="E2:L2"/>
    <mergeCell ref="E37:F37"/>
    <mergeCell ref="E36:F36"/>
    <mergeCell ref="E38:F38"/>
    <mergeCell ref="E41:F41"/>
    <mergeCell ref="E42:F42"/>
    <mergeCell ref="E39:F39"/>
    <mergeCell ref="E40:F40"/>
  </mergeCells>
  <phoneticPr fontId="30" type="noConversion"/>
  <conditionalFormatting sqref="E10">
    <cfRule type="expression" dxfId="401" priority="5" stopIfTrue="1">
      <formula>hydr_verl_zw="OK"</formula>
    </cfRule>
  </conditionalFormatting>
  <conditionalFormatting sqref="D18">
    <cfRule type="expression" dxfId="400" priority="8" stopIfTrue="1">
      <formula>AND(laufrad_ist&gt;2,spannung=230)=TRUE</formula>
    </cfRule>
  </conditionalFormatting>
  <conditionalFormatting sqref="E40:F40">
    <cfRule type="containsText" dxfId="399" priority="4" operator="containsText" text="Versionslaufzeit beendet!!!">
      <formula>NOT(ISERROR(SEARCH("Versionslaufzeit beendet!!!",E40)))</formula>
    </cfRule>
  </conditionalFormatting>
  <conditionalFormatting sqref="D20">
    <cfRule type="expression" dxfId="398" priority="3" stopIfTrue="1">
      <formula>AND(laufrad_ist&gt;2,spannung=230)=TRUE</formula>
    </cfRule>
  </conditionalFormatting>
  <conditionalFormatting sqref="D19">
    <cfRule type="expression" dxfId="397" priority="1" stopIfTrue="1">
      <formula>AND(laufrad_ist&gt;2,spannung=230)=TRUE</formula>
    </cfRule>
  </conditionalFormatting>
  <dataValidations xWindow="277" yWindow="740" count="6">
    <dataValidation type="list" allowBlank="1" showErrorMessage="1" error="Spannung nicht zulässig." prompt="Treffen Sie Ihre Auswahl, bitte." sqref="D18">
      <formula1>"230,400"</formula1>
    </dataValidation>
    <dataValidation type="list" allowBlank="1" showErrorMessage="1" error="Laufradform nicht zulässig" prompt="Treffen Sie Ihre Auswhal, bitte." sqref="D20">
      <formula1>"F,S"</formula1>
    </dataValidation>
    <dataValidation type="list" allowBlank="1" showErrorMessage="1" prompt="Treffen Sie Ihre Auswahl, bitte." sqref="D21">
      <formula1>"ja,nein"</formula1>
    </dataValidation>
    <dataValidation type="list" allowBlank="1" showErrorMessage="1" error="Auswahl nicht zulässig." prompt="Treffen Sie Ihre Auswahl, bitte." sqref="D17">
      <formula1>"nein,ja"</formula1>
    </dataValidation>
    <dataValidation type="list" allowBlank="1" showErrorMessage="1" error="Nennweite ncit zulässig." prompt="Treffen Sie Ihre Auswahl, bitte." sqref="D15">
      <formula1>"32,50,80,100,125,150"</formula1>
    </dataValidation>
    <dataValidation type="list" allowBlank="1" showErrorMessage="1" error="Werkstoff nicht zulässig" prompt="Treffen Sie Ihre Auswhal, bitte." sqref="D19">
      <formula1>"Standard, C"</formula1>
    </dataValidation>
  </dataValidations>
  <printOptions horizontalCentered="1" verticalCentered="1"/>
  <pageMargins left="0.78740157480314965" right="0.78740157480314965" top="0.74803149606299213" bottom="0.15748031496062992" header="0.15748031496062992" footer="0.15748031496062992"/>
  <pageSetup paperSize="9" scale="71" orientation="landscape" r:id="rId1"/>
  <headerFooter alignWithMargins="0">
    <oddHeader xml:space="preserve">&amp;R&amp;"Arial,Fett Kursiv"&amp;10 </oddHeader>
  </headerFooter>
  <customProperties>
    <customPr name="EpmWorksheetKeyString_GUID" r:id="rId2"/>
  </customProperties>
  <cellWatches>
    <cellWatch r="D15"/>
  </cellWatch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2:N47"/>
  <sheetViews>
    <sheetView showGridLines="0" showRowColHeaders="0" showOutlineSymbols="0" zoomScale="75" workbookViewId="0">
      <selection activeCell="F7" sqref="F7"/>
    </sheetView>
  </sheetViews>
  <sheetFormatPr baseColWidth="10" defaultRowHeight="12"/>
  <cols>
    <col min="1" max="1" width="2.28515625" customWidth="1"/>
    <col min="2" max="2" width="13.7109375" customWidth="1"/>
    <col min="3" max="3" width="26.5703125" customWidth="1"/>
    <col min="4" max="4" width="15.85546875" customWidth="1"/>
    <col min="5" max="5" width="16.85546875" customWidth="1"/>
    <col min="6" max="6" width="23.5703125" customWidth="1"/>
    <col min="7" max="7" width="10.7109375" customWidth="1"/>
    <col min="8" max="9" width="18.85546875" customWidth="1"/>
    <col min="10" max="10" width="11" customWidth="1"/>
    <col min="11" max="11" width="18.140625" bestFit="1" customWidth="1"/>
    <col min="12" max="12" width="19.7109375" bestFit="1" customWidth="1"/>
    <col min="13" max="13" width="11.5703125" bestFit="1" customWidth="1"/>
    <col min="14" max="14" width="14" customWidth="1"/>
    <col min="15" max="15" width="13.85546875" bestFit="1" customWidth="1"/>
    <col min="17" max="17" width="13.42578125" customWidth="1"/>
  </cols>
  <sheetData>
    <row r="2" spans="2:14" ht="15.75" customHeight="1">
      <c r="B2" s="857" t="s">
        <v>417</v>
      </c>
      <c r="C2" s="889"/>
      <c r="D2" s="160" t="s">
        <v>463</v>
      </c>
      <c r="E2" s="872">
        <f>Qm!E2</f>
        <v>0</v>
      </c>
      <c r="F2" s="873"/>
      <c r="G2" s="873"/>
      <c r="H2" s="873"/>
      <c r="I2" s="873"/>
      <c r="J2" s="873"/>
      <c r="K2" s="873"/>
      <c r="L2" s="874"/>
      <c r="M2" s="858"/>
    </row>
    <row r="3" spans="2:14" ht="15" customHeight="1">
      <c r="B3" s="858"/>
      <c r="C3" s="890"/>
      <c r="D3" s="161" t="s">
        <v>464</v>
      </c>
      <c r="E3" s="114">
        <f ca="1">Qm!E3</f>
        <v>44746.443169212966</v>
      </c>
      <c r="F3" s="152" t="str">
        <f>Berechnung!G3</f>
        <v>Revision</v>
      </c>
      <c r="G3" s="152">
        <f>Qm!H3</f>
        <v>1</v>
      </c>
      <c r="H3" s="113" t="str">
        <f>Berechnung!I3</f>
        <v>Revisionsdatum</v>
      </c>
      <c r="I3" s="137" t="str">
        <f>IF(OR(ISBLANK(Qm!J3),Qm!J3=0),"",Qm!J3)</f>
        <v/>
      </c>
      <c r="J3" s="152" t="str">
        <f>IF(OR(ISBLANK(Qm!K3),Qm!J3=0),"",Qm!K3)</f>
        <v/>
      </c>
      <c r="K3" s="153"/>
      <c r="L3" s="154"/>
      <c r="M3" s="858"/>
    </row>
    <row r="4" spans="2:14" ht="15.75" customHeight="1">
      <c r="B4" s="859"/>
      <c r="C4" s="891"/>
      <c r="D4" s="162" t="s">
        <v>467</v>
      </c>
      <c r="E4" s="869">
        <f>Qm!E4</f>
        <v>0</v>
      </c>
      <c r="F4" s="870"/>
      <c r="G4" s="870"/>
      <c r="H4" s="870"/>
      <c r="I4" s="870"/>
      <c r="J4" s="870"/>
      <c r="K4" s="870"/>
      <c r="L4" s="871"/>
      <c r="M4" s="858"/>
    </row>
    <row r="5" spans="2:14" ht="12.75" thickBot="1"/>
    <row r="6" spans="2:14" ht="28.5" customHeight="1" thickBot="1">
      <c r="B6" s="905" t="e">
        <f>CONCATENATE("Verfügbares Zubehör für die ",name_," ",anl_bez,  "  - Zulaufseite;  "," treffen Sie Ihre Auswahl, bitte:")</f>
        <v>#VALUE!</v>
      </c>
      <c r="C6" s="935"/>
      <c r="D6" s="935"/>
      <c r="E6" s="935"/>
      <c r="F6" s="935"/>
      <c r="G6" s="935"/>
      <c r="H6" s="935"/>
      <c r="I6" s="935"/>
      <c r="J6" s="308" t="e">
        <f>MATCH(CONCATENATE(anlagen_art,IF(laufrad_form="S",laufrad_form,""),MID(anl_bez,FIND(".",anl_bez,1)+1,3)),zub_bez_liste,0)</f>
        <v>#VALUE!</v>
      </c>
      <c r="K6" s="407" t="e">
        <f>MATCH(CONCATENATE(anlagen_art,IF(laufrad_form="S",laufrad_form,""),MID(anl_bez,FIND(".",anl_bez,1)+1,3)),zub_bez_liste_p13,0)</f>
        <v>#VALUE!</v>
      </c>
    </row>
    <row r="7" spans="2:14" ht="30.75" thickBot="1">
      <c r="B7" s="936" t="s">
        <v>566</v>
      </c>
      <c r="C7" s="937"/>
      <c r="D7" s="937"/>
      <c r="E7" s="937"/>
      <c r="F7" s="260"/>
      <c r="G7" s="118" t="s">
        <v>561</v>
      </c>
      <c r="H7" s="92" t="s">
        <v>567</v>
      </c>
      <c r="I7" s="92" t="s">
        <v>568</v>
      </c>
      <c r="J7" s="380" t="s">
        <v>904</v>
      </c>
      <c r="K7" s="93" t="s">
        <v>569</v>
      </c>
    </row>
    <row r="8" spans="2:14" ht="30" customHeight="1" thickTop="1">
      <c r="B8" s="121" t="s">
        <v>227</v>
      </c>
      <c r="C8" s="78" t="s">
        <v>562</v>
      </c>
      <c r="D8" s="88"/>
      <c r="E8" s="69"/>
      <c r="F8" s="125">
        <v>50</v>
      </c>
      <c r="G8" s="102"/>
      <c r="H8" s="297" t="str">
        <f>IF(OR(($G8)="nein",ISBLANK($G8),$G8=" ")=TRUE,meldung_8,IF(ISNA(VLOOKUP($F$8,zub_p3,zub_bez_liste_spnr,FALSE))=TRUE,meldung_9,IF(OR(VLOOKUP($F$8,zub_p3,zub_bez_liste_spnr,FALSE)="Z",VLOOKUP($F$8,zub_p3,zub_bez_liste_spnr,FALSE)="ZD")=TRUE,VLOOKUP($F$8,zub_p3,17,FALSE),meldung_7)))</f>
        <v>keine Auswahl</v>
      </c>
      <c r="I8" s="381" t="str">
        <f>IF(OR(($G8)="nein",ISBLANK($G8),$G8=" ")=TRUE,meldung_8,IF(ISNA(VLOOKUP($F8,zub_p3,zub_bez_liste_spnr,FALSE))=TRUE,meldung_9,IF(OR(VLOOKUP($F8,zub_p3,zub_bez_liste_spnr,FALSE)="Z",VLOOKUP($F8,zub_p3,zub_bez_liste_spnr,FALSE)="ZD")=TRUE,VLOOKUP($F8,zub_p3,18,FALSE),meldung_7)))</f>
        <v>keine Auswahl</v>
      </c>
      <c r="J8" s="102"/>
      <c r="K8" s="249" t="str">
        <f t="shared" ref="K8:K18" si="0">IF(OR(($G8)="nein",ISBLANK($G8),$G8=" ")=TRUE,meldung_8,IF(OR(ISBLANK($J8),$J8=" ")=TRUE,meldung_73,IF(ISERROR($J8*$I8)=TRUE,"0",$J8*$I8)))</f>
        <v>keine Auswahl</v>
      </c>
    </row>
    <row r="9" spans="2:14" ht="30" customHeight="1">
      <c r="B9" s="121" t="s">
        <v>227</v>
      </c>
      <c r="C9" s="79" t="s">
        <v>562</v>
      </c>
      <c r="D9" s="88"/>
      <c r="E9" s="69"/>
      <c r="F9" s="125" t="e">
        <f>VALUE(CONCATENATE(dnz,IF(ISBLANK($G$9)=TRUE,"",IF(OR(VLOOKUP(dnz,zub_p3,2,FALSE)=0,ISNA(VLOOKUP(dnz,zub_p3,2,FALSE))=TRUE)=TRUE,"",CONCATENATE("/",VLOOKUP(dnz,zub_p3,2,FALSE))))))</f>
        <v>#VALUE!</v>
      </c>
      <c r="G9" s="103"/>
      <c r="H9" s="298" t="str">
        <f>IF(OR(($G9)="nein",ISBLANK($G9),$G9=" ")=TRUE,meldung_8,IF(ISBLANK($G$9)=TRUE,meldung_8,IF(ISNA(VLOOKUP(dnz,zub_p3,zub_bez_liste_spnr,FALSE))=TRUE,meldung_9,IF(OR(VLOOKUP(dnz,zub_p3,zub_bez_liste_spnr,FALSE)="Z",VLOOKUP(dnz,zub_p3,zub_bez_liste_spnr,FALSE)="ZD"),VLOOKUP(dnz,zub_p3,17,FALSE),meldung_9))))</f>
        <v>keine Auswahl</v>
      </c>
      <c r="I9" s="382" t="str">
        <f>IF(OR(($G9)="nein",ISBLANK($G9),$G9=" ")=TRUE,meldung_8,IF(ISNA(VLOOKUP(($F$9),zub_p3,zub_bez_liste_spnr,FALSE))=TRUE,meldung_9,IF(OR(VLOOKUP(($F$9),zub_p3,zub_bez_liste_spnr,FALSE)="Z",VLOOKUP(($F$9),zub_p3,zub_bez_liste_spnr,FALSE)="ZD")=TRUE,VLOOKUP(($F$9),zub_p3,18,FALSE),meldung_7)))</f>
        <v>keine Auswahl</v>
      </c>
      <c r="J9" s="103"/>
      <c r="K9" s="255" t="str">
        <f t="shared" si="0"/>
        <v>keine Auswahl</v>
      </c>
      <c r="N9" s="264"/>
    </row>
    <row r="10" spans="2:14" ht="30" customHeight="1">
      <c r="B10" s="122" t="s">
        <v>231</v>
      </c>
      <c r="C10" s="294" t="s">
        <v>232</v>
      </c>
      <c r="D10" s="85" t="s">
        <v>677</v>
      </c>
      <c r="E10" s="67"/>
      <c r="F10" s="125" t="str">
        <f>(CONCATENATE(dnz,IF(ISBLANK($G$10)=TRUE,"",IF(OR(VLOOKUP(CONCATENATE(dnz,dnz),zub_p8,2,FALSE)=0,ISNA(VLOOKUP(CONCATENATE(dnz,dnz),zub_p8,2,FALSE))=TRUE)=TRUE,"",CONCATENATE("/",VLOOKUP(CONCATENATE(dnz,dnz),zub_p8,2,FALSE))))))</f>
        <v/>
      </c>
      <c r="G10" s="103"/>
      <c r="H10" s="299" t="str">
        <f>IF(OR(($G10)="nein",ISBLANK($G10),$G10=" ")=TRUE,meldung_8,IF(ISBLANK($G$10)=TRUE,meldung_8,IF(ISNA(VLOOKUP(CONCATENATE(dnz,dnz),zub_p8,zub_bez_liste_spnr,FALSE))=TRUE,meldung_9,IF(OR(VLOOKUP(CONCATENATE(dnz,dnz),zub_p8,zub_bez_liste_spnr,FALSE)="Z",VLOOKUP(CONCATENATE(dnz,dnz),zub_p8,zub_bez_liste_spnr,FALSE)="ZD"),VLOOKUP(CONCATENATE(dnz,dnz),zub_p8,17,FALSE),meldung_9))))</f>
        <v>keine Auswahl</v>
      </c>
      <c r="I10" s="382" t="str">
        <f>IF(OR(($G10)="nein",ISBLANK($G10),$G10=" ")=TRUE,meldung_8,IF(ISNA(VLOOKUP(CONCATENATE(dnz,dnz),zub_p8,zub_bez_liste_spnr,FALSE))=TRUE,meldung_9,IF(OR(VLOOKUP(CONCATENATE(dnz,dnz),zub_p8,zub_bez_liste_spnr,FALSE)="Z",VLOOKUP(CONCATENATE(dnz,dnz),zub_p8,zub_bez_liste_spnr,FALSE)="ZD")=TRUE,VLOOKUP(CONCATENATE(dnz,dnz),zub_p8,18,FALSE),meldung_7)))</f>
        <v>keine Auswahl</v>
      </c>
      <c r="J10" s="103"/>
      <c r="K10" s="256" t="str">
        <f t="shared" si="0"/>
        <v>keine Auswahl</v>
      </c>
    </row>
    <row r="11" spans="2:14" ht="30" customHeight="1">
      <c r="B11" s="123" t="s">
        <v>233</v>
      </c>
      <c r="C11" s="908" t="s">
        <v>563</v>
      </c>
      <c r="D11" s="909"/>
      <c r="E11" s="910"/>
      <c r="F11" s="125" t="e">
        <f>IF(OR(VLOOKUP(dnz,zub_p9.1,zub_bez_liste_spnr,FALSE)=0,ISNA(VLOOKUP(dnz,zub_p9.1,zub_bez_liste_spnr,FALSE))=TRUE)=TRUE,meldung_9,dnz)</f>
        <v>#N/A</v>
      </c>
      <c r="G11" s="103"/>
      <c r="H11" s="299" t="str">
        <f>IF(OR(($G11)="nein",ISBLANK($G11),$G11=" ")=TRUE,meldung_8,IF(ISBLANK($G$11)=TRUE,meldung_8,IF(ISNA(VLOOKUP(dnz,zub_p9.1,zub_bez_liste_spnr,FALSE))=TRUE,meldung_9,IF(OR(VLOOKUP(dnz,zub_p9.1,zub_bez_liste_spnr,FALSE)="Z",VLOOKUP(dnz,zub_p9.1,zub_bez_liste_spnr,FALSE)="ZD"),VLOOKUP(dnz,zub_p9.1,17,FALSE),meldung_9))))</f>
        <v>keine Auswahl</v>
      </c>
      <c r="I11" s="382" t="str">
        <f>IF(OR(($G11)="nein",ISBLANK($G11),$G11=" ")=TRUE,meldung_8,IF(ISNA(VLOOKUP(dnz,zub_p9.1,zub_bez_liste_spnr,FALSE))=TRUE,meldung_9,IF(OR(VLOOKUP(dnz,zub_p9.1,zub_bez_liste_spnr,FALSE)="Z",VLOOKUP(dnz,zub_p9.1,zub_bez_liste_spnr,FALSE)="ZD")=TRUE,VLOOKUP(dnz,zub_p9.1,18,FALSE),meldung_7)))</f>
        <v>keine Auswahl</v>
      </c>
      <c r="J11" s="103"/>
      <c r="K11" s="256" t="str">
        <f t="shared" si="0"/>
        <v>keine Auswahl</v>
      </c>
    </row>
    <row r="12" spans="2:14" ht="30" customHeight="1">
      <c r="B12" s="123" t="s">
        <v>235</v>
      </c>
      <c r="C12" s="908" t="s">
        <v>564</v>
      </c>
      <c r="D12" s="909"/>
      <c r="E12" s="66"/>
      <c r="F12" s="125" t="e">
        <f>IF(OR(VLOOKUP(dnz,zub_p9.2,zub_bez_liste_spnr,FALSE)=0,ISNA(VLOOKUP(dnz,zub_p9.2,zub_bez_liste_spnr,FALSE))=TRUE)=TRUE,meldung_9,dnz)</f>
        <v>#N/A</v>
      </c>
      <c r="G12" s="103"/>
      <c r="H12" s="299" t="str">
        <f>IF(OR(($G12)="nein",ISBLANK($G12),$G12=" ")=TRUE,meldung_8,IF(ISBLANK($G$12)=TRUE,meldung_8,IF(ISNA(VLOOKUP(dnz,zub_p9.2,zub_bez_liste_spnr,FALSE))=TRUE,meldung_9,IF(OR(VLOOKUP(dnz,zub_p9.2,zub_bez_liste_spnr,FALSE)="Z",VLOOKUP(dnz,zub_p9.2,zub_bez_liste_spnr,FALSE)="ZD"),VLOOKUP(dnz,zub_p9.2,17,FALSE),meldung_9))))</f>
        <v>keine Auswahl</v>
      </c>
      <c r="I12" s="383" t="str">
        <f>IF(OR(($G12)="nein",ISBLANK($G12),$G12=" ")=TRUE,meldung_8,IF(ISBLANK($G$12)=TRUE,meldung_8,IF(ISNA(VLOOKUP(dnz,zub_p9.2,zub_bez_liste_spnr,FALSE))=TRUE,meldung_9,IF(OR(VLOOKUP(dnz,zub_p9.2,zub_bez_liste_spnr,FALSE)="Z",VLOOKUP(dnz,zub_p9.2,zub_bez_liste_spnr,FALSE)="ZD"),VLOOKUP(dnz,zub_p9.2,18,FALSE),meldung_9))))</f>
        <v>keine Auswahl</v>
      </c>
      <c r="J12" s="103"/>
      <c r="K12" s="256" t="str">
        <f t="shared" si="0"/>
        <v>keine Auswahl</v>
      </c>
    </row>
    <row r="13" spans="2:14" ht="30" customHeight="1">
      <c r="B13" s="920" t="s">
        <v>238</v>
      </c>
      <c r="C13" s="80" t="s">
        <v>264</v>
      </c>
      <c r="D13" s="87" t="s">
        <v>287</v>
      </c>
      <c r="E13" s="66"/>
      <c r="F13" s="125" t="str">
        <f>IF(ISNA(VLOOKUP(dnz,zub_p113,zub_bez_liste_spnr,FALSE)=TRUE)=TRUE,meldung_9,dnz)</f>
        <v>nicht vorhanden</v>
      </c>
      <c r="G13" s="103"/>
      <c r="H13" s="299" t="str">
        <f>IF(OR(($G13)="nein",ISBLANK($G13),$G13=" ")=TRUE,meldung_8,IF(ISBLANK($G$13)=TRUE,meldung_8,IF(ISNA(VLOOKUP(dnz,zub_p113,zub_bez_liste_spnr,ALSCH))=TRUE,meldung_9,IF(OR(VLOOKUP(dnz,zub_p113,zub_bez_liste_spnr,FALSE)="Z",VLOOKUP(dnz,zub_p113,zub_bez_liste_spnr,FALSE)="ZD"),VLOOKUP(dnz,zub_p113,17,FALSE),meldung_9))))</f>
        <v>keine Auswahl</v>
      </c>
      <c r="I13" s="382" t="str">
        <f>IF(OR(($G13)="nein",ISBLANK($G13),$G13=" ")=TRUE,meldung_8,IF(ISNA(VLOOKUP(dnz,zub_p113,zub_bez_liste_spnr,FALSE))=TRUE,meldung_9,IF(OR(VLOOKUP(dnz,zub_p113,zub_bez_liste_spnr,FALSE)="Z",VLOOKUP(dnz,zub_p113,zub_bez_liste_spnr,FALSE)="ZD")=TRUE,VLOOKUP(dnz,zub_p113,18,FALSE),meldung_7)))</f>
        <v>keine Auswahl</v>
      </c>
      <c r="J13" s="103"/>
      <c r="K13" s="256" t="str">
        <f t="shared" si="0"/>
        <v>keine Auswahl</v>
      </c>
    </row>
    <row r="14" spans="2:14" ht="15" customHeight="1">
      <c r="B14" s="921"/>
      <c r="C14" s="81" t="s">
        <v>265</v>
      </c>
      <c r="D14" s="86" t="s">
        <v>282</v>
      </c>
      <c r="E14" s="158"/>
      <c r="F14" s="913" t="e">
        <f>IF(OR(VLOOKUP(dnz,zub_p114,zub_bez_liste_spnr,FALSE)=0,ISNA(VLOOKUP(dnz,zub_p114,zub_bez_liste_spnr,FALSE))=TRUE)=TRUE,meldung_9,dnz)</f>
        <v>#N/A</v>
      </c>
      <c r="G14" s="925"/>
      <c r="H14" s="931" t="str">
        <f>IF(OR(($G14)="nein",ISBLANK($G14),$G14=" ")=TRUE,meldung_8,IF(ISBLANK($G$14)=TRUE,meldung_8,IF(ISNA(VLOOKUP(dnz,zub_p114,zub_bez_liste_spnr,FALSE))=TRUE,meldung_9,IF(OR(VLOOKUP(dnz,zub_p114,zub_bez_liste_spnr,FALSE)="Z",VLOOKUP(dnz,zub_p114,zub_bez_liste_spnr,FALSE)="ZD"),VLOOKUP(dnz,zub_p114,17,FALSE),meldung_9))))</f>
        <v>keine Auswahl</v>
      </c>
      <c r="I14" s="932" t="str">
        <f>IF(OR(($G14)="nein",ISBLANK($G14),$G14=" ")=TRUE,meldung_8,IF(ISNA(VLOOKUP(dnz,zub_p114,zub_bez_liste_spnr,FALSE))=TRUE,meldung_9,IF(OR(VLOOKUP(dnz,zub_p114,zub_bez_liste_spnr,FALSE)="Z",VLOOKUP(dnz,zub_p114,zub_bez_liste_spnr,FALSE)="ZD")=TRUE,VLOOKUP(dnz,zub_p114,18,FALSE),meldung_7)))</f>
        <v>keine Auswahl</v>
      </c>
      <c r="J14" s="925"/>
      <c r="K14" s="923" t="str">
        <f t="shared" si="0"/>
        <v>keine Auswahl</v>
      </c>
    </row>
    <row r="15" spans="2:14" ht="15" customHeight="1">
      <c r="B15" s="921"/>
      <c r="C15" s="82" t="s">
        <v>903</v>
      </c>
      <c r="D15" s="89"/>
      <c r="E15" s="159"/>
      <c r="F15" s="914" t="str">
        <f>IF(ISBLANK($G$13)=TRUE,"",IF(OR(VLOOKUP(dnz,zub_p111,zub_bez_liste_spnr,FALSE)=0,ISNA(VLOOKUP(dnz,zub_p111,zub_bez_liste_spnr,FALSE))=TRUE)=TRUE,meldung_9,dnz))</f>
        <v/>
      </c>
      <c r="G15" s="926"/>
      <c r="H15" s="931"/>
      <c r="I15" s="932"/>
      <c r="J15" s="926"/>
      <c r="K15" s="924" t="str">
        <f t="shared" si="0"/>
        <v>keine Auswahl</v>
      </c>
    </row>
    <row r="16" spans="2:14" ht="15" customHeight="1">
      <c r="B16" s="921"/>
      <c r="C16" s="81" t="s">
        <v>241</v>
      </c>
      <c r="D16" s="86" t="s">
        <v>283</v>
      </c>
      <c r="E16" s="158"/>
      <c r="F16" s="933" t="str">
        <f>CONCATENATE(dnz,IF(ISBLANK($G$16)=TRUE,"",IF(OR(VLOOKUP(dnz,zub_p115,2,FALSE)=0,ISNA(VLOOKUP(dnz,zub_p115,2,FALSE))=TRUE)=TRUE,"",CONCATENATE("/",VLOOKUP(dnz,zub_p115,2,FALSE)))))</f>
        <v/>
      </c>
      <c r="G16" s="925"/>
      <c r="H16" s="931" t="str">
        <f>IF(OR(($G16)="nein",ISBLANK($G16),$G16=" ")=TRUE,meldung_8,IF(ISBLANK($G$16)=TRUE,meldung_8,IF(ISNA(VLOOKUP(dnz,zub_p115,zub_bez_liste_spnr,FALSE))=TRUE,meldung_9,IF(OR(VLOOKUP(dnz,zub_p115,zub_bez_liste_spnr,FALSE)="Z",VLOOKUP(dnz,zub_p115,zub_bez_liste_spnr,FALSE)="ZD"),VLOOKUP(dnz,zub_p115,17,FALSE),meldung_9))))</f>
        <v>keine Auswahl</v>
      </c>
      <c r="I16" s="932" t="str">
        <f>IF(OR(($G16)="nein",ISBLANK($G16),$G16=" ")=TRUE,meldung_8,IF(ISNA(VLOOKUP(dnz,zub_p115,zub_bez_liste_spnr,FALSE))=TRUE,meldung_9,IF(OR(VLOOKUP(dnz,zub_p115,zub_bez_liste_spnr,FALSE)="Z",VLOOKUP(dnz,zub_p115,zub_bez_liste_spnr,FALSE)="ZD")=TRUE,VLOOKUP(dnz,zub_p115,18,FALSE),meldung_7)))</f>
        <v>keine Auswahl</v>
      </c>
      <c r="J16" s="925"/>
      <c r="K16" s="923" t="str">
        <f t="shared" si="0"/>
        <v>keine Auswahl</v>
      </c>
    </row>
    <row r="17" spans="2:12" ht="15" customHeight="1">
      <c r="B17" s="922"/>
      <c r="C17" s="79" t="s">
        <v>565</v>
      </c>
      <c r="D17" s="88"/>
      <c r="E17" s="159"/>
      <c r="F17" s="934"/>
      <c r="G17" s="926"/>
      <c r="H17" s="931"/>
      <c r="I17" s="932"/>
      <c r="J17" s="926"/>
      <c r="K17" s="924" t="str">
        <f t="shared" si="0"/>
        <v>keine Auswahl</v>
      </c>
      <c r="L17" s="241"/>
    </row>
    <row r="18" spans="2:12" ht="30" customHeight="1" thickBot="1">
      <c r="B18" s="124" t="s">
        <v>243</v>
      </c>
      <c r="C18" s="80" t="s">
        <v>244</v>
      </c>
      <c r="D18" s="87"/>
      <c r="E18" s="96"/>
      <c r="F18" s="125" t="str">
        <f>CONCATENATE(dnz,IF(ISBLANK($G$11)=TRUE,"",IF(OR(VLOOKUP(dnz,zub_p12,2,FALSE)=0,ISNA(VLOOKUP(dnz,zub_p12,2,FALSE))=TRUE)=TRUE,"",CONCATENATE("/",VLOOKUP(dnz,zub_p12,2,FALSE)))))</f>
        <v/>
      </c>
      <c r="G18" s="105"/>
      <c r="H18" s="299" t="str">
        <f>IF(OR(($G18)="nein",ISBLANK($G18),$G18=" ")=TRUE,meldung_8,IF(ISBLANK($G$18)=TRUE,meldung_8,IF(ISNA(VLOOKUP(dnz,zub_p12,zub_bez_liste_spnr,FALSE))=TRUE,meldung_9,IF(OR(VLOOKUP(dnz,zub_p12,zub_bez_liste_spnr,FALSE)="Z",VLOOKUP(dnz,zub_p12,zub_bez_liste_spnr,FALSE)="ZD"),VLOOKUP(dnz,zub_p12,17,FALSE),meldung_9))))</f>
        <v>keine Auswahl</v>
      </c>
      <c r="I18" s="384" t="str">
        <f>IF(OR(($G18)="nein",ISBLANK($G18),$G18=" ")=TRUE,meldung_8,IF(ISNA(VLOOKUP(dnz,zub_p12,zub_bez_liste_spnr,FALSE))=TRUE,meldung_9,IF(OR(VLOOKUP(dnz,zub_p12,zub_bez_liste_spnr,FALSE)="Z",VLOOKUP(dnz,zub_p12,zub_bez_liste_spnr,FALSE)="ZD")=TRUE,VLOOKUP(dnz,zub_p12,18,FALSE),meldung_7)))</f>
        <v>keine Auswahl</v>
      </c>
      <c r="J18" s="105"/>
      <c r="K18" s="257" t="str">
        <f t="shared" si="0"/>
        <v>keine Auswahl</v>
      </c>
    </row>
    <row r="19" spans="2:12" ht="14.25" customHeight="1" thickTop="1" thickBot="1">
      <c r="B19" s="70"/>
      <c r="C19" s="65"/>
      <c r="D19" s="65"/>
      <c r="E19" s="65"/>
      <c r="F19" s="74"/>
      <c r="G19" s="71"/>
      <c r="H19" s="72"/>
      <c r="I19" s="73"/>
    </row>
    <row r="20" spans="2:12" ht="29.25" customHeight="1" thickBot="1">
      <c r="B20" s="905" t="e">
        <f>CONCATENATE("Verfügbares Zubehör für die ",name_," ",anl_bez,  "  - Druckseite;  "," treffen Sie Ihre Auswahl, bitte:")</f>
        <v>#VALUE!</v>
      </c>
      <c r="C20" s="906"/>
      <c r="D20" s="906"/>
      <c r="E20" s="906"/>
      <c r="F20" s="906"/>
      <c r="G20" s="906"/>
      <c r="H20" s="906"/>
      <c r="I20" s="906"/>
      <c r="J20" s="309"/>
      <c r="K20" s="310"/>
    </row>
    <row r="21" spans="2:12" ht="33.75" customHeight="1" thickBot="1">
      <c r="B21" s="259" t="s">
        <v>570</v>
      </c>
      <c r="C21" s="77"/>
      <c r="D21" s="77"/>
      <c r="E21" s="77"/>
      <c r="F21" s="260">
        <v>100</v>
      </c>
      <c r="G21" s="927" t="str">
        <f>IF(dnt=dn,"",CONCATENATE("Achtung:
 ausgewählter Durchmesser der Druckleitung beträgt ",dn," mm!"))</f>
        <v>Achtung:
 ausgewählter Durchmesser der Druckleitung beträgt 80 mm!</v>
      </c>
      <c r="H21" s="928"/>
      <c r="I21" s="928"/>
      <c r="K21" s="261"/>
    </row>
    <row r="22" spans="2:12" ht="31.5" customHeight="1" thickTop="1" thickBot="1">
      <c r="B22" s="917" t="e">
        <f>CONCATENATE("Standardanschluss (druckseitiger Flansch) für ",name_," ",anl_bez,
 " ist  DN ",dnds,"  -  ",IF(RIGHT(anlage_ermittelt,3)="450",meldung_75,IF(RIGHT(anlage_ermittelt,3)="900",meldung_74,"")),)</f>
        <v>#VALUE!</v>
      </c>
      <c r="C22" s="918"/>
      <c r="D22" s="918"/>
      <c r="E22" s="919"/>
      <c r="F22" s="106" t="e">
        <f>dnds</f>
        <v>#N/A</v>
      </c>
      <c r="G22" s="118" t="s">
        <v>561</v>
      </c>
      <c r="H22" s="92" t="s">
        <v>567</v>
      </c>
      <c r="I22" s="372" t="s">
        <v>568</v>
      </c>
      <c r="J22" s="380" t="s">
        <v>904</v>
      </c>
      <c r="K22" s="93" t="s">
        <v>569</v>
      </c>
      <c r="L22" s="247"/>
    </row>
    <row r="23" spans="2:12" ht="30" customHeight="1" thickTop="1">
      <c r="B23" s="121" t="s">
        <v>230</v>
      </c>
      <c r="C23" s="78" t="s">
        <v>571</v>
      </c>
      <c r="D23" s="90"/>
      <c r="E23" s="83"/>
      <c r="F23" s="127" t="e">
        <f>IF(CONCATENATE(dn_zub_dnds_st,"/",dnt)="50/32","32",IF(CONCATENATE(dn_zub_dnds_st,"/",dnt)="50/50","50",IF(CONCATENATE(dn_zub_dnds_st,"/",dnt)="32/32","32",IF(CONCATENATE(dn_zub_dnds_st,"/",dnt)="80/65","80/65",IF(CONCATENATE(dn_zub_dnds_st,"/",dnt)="80/80","80/80",CONCATENATE(dn_zub_dnds_st,"/",dnt," ",,meldung_23))))))</f>
        <v>#N/A</v>
      </c>
      <c r="G23" s="102"/>
      <c r="H23" s="300" t="str">
        <f>IF(OR(($G23)="nein",ISBLANK($G23),$G23=" ")=TRUE,meldung_8,IF(ISNA(VLOOKUP(VALUE(CONCATENATE(dnds,dnt)),zub_p5,zub_bez_liste_spnr,FALSE))=TRUE,meldung_23,IF(OR(VLOOKUP(VALUE(CONCATENATE(dnds,dnt)),zub_p5,zub_bez_liste_spnr,FALSE)="D",VLOOKUP(VALUE(CONCATENATE(dnds,dnt)),zub_p5,zub_bez_liste_spnr,FALSE)="ZD"),VLOOKUP(VALUE(CONCATENATE(dnds,dnt)),zub_p5,17,FALSE),meldung_9)))</f>
        <v>keine Auswahl</v>
      </c>
      <c r="I23" s="385" t="str">
        <f>IF(OR(($G23)="nein",ISBLANK($G23),$G23=" ")=TRUE,meldung_8,IF(ISNA(VLOOKUP(VALUE(CONCATENATE(dnds,dnt)),zub_p5,zub_bez_liste_spnr,FALSE))=TRUE,meldung_9,IF(OR(VLOOKUP(VALUE(CONCATENATE(dnds,dnt)),zub_p5,zub_bez_liste_spnr,FALSE)="D",VLOOKUP(VALUE(CONCATENATE(dnds,dnt)),zub_p5,zub_bez_liste_spnr,FALSE)="ZD")=TRUE,VLOOKUP(VALUE(CONCATENATE(dnds,dnt)),zub_p5,18,FALSE),meldung_7)))</f>
        <v>keine Auswahl</v>
      </c>
      <c r="J23" s="102"/>
      <c r="K23" s="252" t="str">
        <f t="shared" ref="K23:K29" si="1">IF(OR(($G23)="nein",ISBLANK($G23),$G23=" ")=TRUE,meldung_8,IF(OR(ISBLANK($J23),$J23=" ")=TRUE,meldung_73,IF(ISERROR($J23*$I23)=TRUE,"0",$J23*$I23)))</f>
        <v>keine Auswahl</v>
      </c>
      <c r="L23" s="313"/>
    </row>
    <row r="24" spans="2:12" ht="30" customHeight="1">
      <c r="B24" s="123" t="s">
        <v>231</v>
      </c>
      <c r="C24" s="80" t="s">
        <v>232</v>
      </c>
      <c r="D24" s="87"/>
      <c r="E24" s="84"/>
      <c r="F24" s="127" t="e">
        <f>IF(CONCATENATE(dn_zub_dnds_st,"/",dnt)="32/32","32",IF(CONCATENATE(dn_zub_dnds_st,"/",dnt)="80/65","80/65",IF(CONCATENATE(dn_zub_dnds_st,"/",dnt)="80/80","80/80",CONCATENATE(dn_zub_dnds_st,"/",dnt," ",,meldung_23))))</f>
        <v>#N/A</v>
      </c>
      <c r="G24" s="103"/>
      <c r="H24" s="300" t="str">
        <f>IF(OR(($G25)="nein",ISBLANK($G24),$G24=" ")=TRUE,meldung_8,IF(ISNA(VLOOKUP(VALUE(CONCATENATE(dnds,dnt)),zub_p8,zub_bez_liste_spnr,FALSE))=TRUE,meldung_23,IF(OR(VLOOKUP(VALUE(CONCATENATE(dnds,dnt)),zub_p8,zub_bez_liste_spnr,FALSE)="D",VLOOKUP(VALUE(CONCATENATE(dnds,dnt)),zub_p8,zub_bez_liste_spnr,FALSE)="ZD"),VLOOKUP(VALUE(CONCATENATE(dnds,dnt)),zub_p8,17,FALSE),meldung_9)))</f>
        <v>keine Auswahl</v>
      </c>
      <c r="I24" s="386" t="str">
        <f>IF(OR(($G24)="nein",ISBLANK($G24),$G24=" ")=TRUE,meldung_8,IF(ISNA(VLOOKUP(VALUE(CONCATENATE(dnds,dnt)),zub_p8,zub_bez_liste_spnr,FALSE))=TRUE,meldung_9,IF(OR(VLOOKUP(VALUE(CONCATENATE(dnds,dnt)),zub_p8,zub_bez_liste_spnr,FALSE)="D",VLOOKUP(VALUE(CONCATENATE(dnds,dnt)),zub_p8,zub_bez_liste_spnr,FALSE)="ZD")=TRUE,VLOOKUP(VALUE(CONCATENATE(dnds,dnt)),zub_p8,18,FALSE),meldung_7)))</f>
        <v>keine Auswahl</v>
      </c>
      <c r="J24" s="103"/>
      <c r="K24" s="253" t="str">
        <f>IF(OR(($G24)="nein",ISBLANK($G24),$G24=" ")=TRUE,meldung_8,IF(OR(ISBLANK($J24),$J24=" ")=TRUE,meldung_73,IF(ISERROR($J24*$I24)=TRUE,"0",$J24*$I24)))</f>
        <v>keine Auswahl</v>
      </c>
      <c r="L24" s="368"/>
    </row>
    <row r="25" spans="2:12" ht="30" customHeight="1">
      <c r="B25" s="920" t="s">
        <v>237</v>
      </c>
      <c r="C25" s="91" t="s">
        <v>572</v>
      </c>
      <c r="D25" s="85" t="s">
        <v>281</v>
      </c>
      <c r="E25" s="262" t="s">
        <v>573</v>
      </c>
      <c r="F25" s="125" t="str">
        <f>IF(laufrad_form="S",IF(OR(CONCATENATE(dn_zub_dnds_st,"/",dnt)="50/32",CONCATENATE(dn_zub_dnds_st,"/",dnt)="32/32"),"Rp 1 1/4",IF(OR(CONCATENATE(dn_zub_dnds_st,"/",dnt)="50/50",CONCATENATE(dn_zub_dnds_st,"/",dnt)="32/50"),"Rp 2",meldung_91)),meldung_10)</f>
        <v>nur für S-Rad</v>
      </c>
      <c r="G25" s="103"/>
      <c r="H25" s="301" t="e">
        <f>IF(zub_bez_liste_spnr=6,"im Lieferumfang enthalten",IF(OR(($G25)="nein",ISBLANK($G25),$G25=" ")=TRUE,meldung_8,IF(ISNA(VLOOKUP(IF(F25="Rp 1 1/4","1 1/4","2"),zub_p102,zub_bez_liste_spnr,FALSE))=TRUE,meldung_9,IF(OR(VLOOKUP(IF(F25="Rp 1 1/4","1 1/4","2"),zub_p102,zub_bez_liste_spnr,FALSE)="D",VLOOKUP(IF(F25="Rp 1 1/4","1 1/4","2"),zub_p102,zub_bez_liste_spnr,FALSE)="ZD"),VLOOKUP(IF(F25="Rp 1 1/4","1 1/4","2"),zub_p102,17,FALSE),meldung_8))))</f>
        <v>#VALUE!</v>
      </c>
      <c r="I25" s="387" t="str">
        <f>IF(OR(($G25)="nein",ISBLANK($G25),$G25=" ")=TRUE,meldung_8,IF(ISNA(VLOOKUP(IF(F25="Rp 1 1/4","1 1/4","2"),zub_p102,zub_bez_liste_spnr,FALSE))=TRUE,meldung_9,IF(OR(VLOOKUP(IF(F25="Rp 1 1/4","1 1/4","2"),zub_p102,zub_bez_liste_spnr,FALSE)="D",VLOOKUP(IF(F25="Rp 1 1/4","1 1/4","2"),zub_p102,zub_bez_liste_spnr,FALSE)="ZD")=TRUE,VLOOKUP(IF(F25="Rp 1 1/4","1 1/4","2"),zub_p102,18,FALSE),meldung_7)))</f>
        <v>keine Auswahl</v>
      </c>
      <c r="J25" s="103"/>
      <c r="K25" s="253" t="str">
        <f t="shared" si="1"/>
        <v>keine Auswahl</v>
      </c>
      <c r="L25" s="367"/>
    </row>
    <row r="26" spans="2:12" ht="30" customHeight="1">
      <c r="B26" s="921"/>
      <c r="C26" s="295" t="s">
        <v>574</v>
      </c>
      <c r="D26" s="86" t="s">
        <v>282</v>
      </c>
      <c r="E26" s="296" t="s">
        <v>575</v>
      </c>
      <c r="F26" s="125" t="str">
        <f>IF(laufrad_form="S",IF(OR(CONCATENATE(dn_zub_dnds_st,"/",dnt)="50/32",CONCATENATE(dn_zub_dnds_st,"/",dnt)="32/32"),"Rp 1 1/4",IF(OR(CONCATENATE(dn_zub_dnds_st,"/",dnt)="50/50",CONCATENATE(dn_zub_dnds_st,"/",dnt)="32/50"),"Rp 2",meldung_91)),meldung_10)</f>
        <v>nur für S-Rad</v>
      </c>
      <c r="G26" s="103"/>
      <c r="H26" s="301" t="e">
        <f>IF(zub_bez_liste_spnr=6,"im Lieferumfang enthalten",IF(OR(($G26)="nein",ISBLANK($G26),$G26=" ")=TRUE,meldung_8,IF(ISNA(VLOOKUP(IF(F26="Rp 1 1/4","1 1/4","2"),zub_p102,zub_bez_liste_spnr,FALSE))=TRUE,meldung_9,IF(OR(VLOOKUP(IF(F26="Rp 1 1/4","1 1/4","2"),zub_p102,zub_bez_liste_spnr,FALSE)="D",VLOOKUP(IF(F26="Rp 1 1/4","1 1/4","2"),zub_p102,zub_bez_liste_spnr,FALSE)="ZD"),VLOOKUP(IF(F26="Rp 1 1/4","1 1/4","2"),zub_p102,17,FALSE),meldung_8))))</f>
        <v>#VALUE!</v>
      </c>
      <c r="I26" s="387" t="str">
        <f>IF(OR(($G26)="nein",ISBLANK($G26),$G26=" ")=TRUE,meldung_8,IF(ISNA(VLOOKUP(IF(F26="Rp 1 1/4","1 1/4","2"),zub_p102,zub_bez_liste_spnr,FALSE))=TRUE,meldung_9,IF(OR(VLOOKUP(IF(F26="Rp 1 1/4","1 1/4","2"),zub_p102,zub_bez_liste_spnr,FALSE)="D",VLOOKUP(IF(F26="Rp 1 1/4","1 1/4","2"),zub_p102,zub_bez_liste_spnr,FALSE)="ZD")=TRUE,VLOOKUP(IF(F26="Rp 1 1/4","1 1/4","2"),zub_p102,18,FALSE),meldung_7)))</f>
        <v>keine Auswahl</v>
      </c>
      <c r="J26" s="103"/>
      <c r="K26" s="253" t="str">
        <f t="shared" si="1"/>
        <v>keine Auswahl</v>
      </c>
      <c r="L26" s="241"/>
    </row>
    <row r="27" spans="2:12" ht="30" customHeight="1">
      <c r="B27" s="922"/>
      <c r="C27" s="80" t="s">
        <v>576</v>
      </c>
      <c r="D27" s="87" t="s">
        <v>283</v>
      </c>
      <c r="E27" s="296" t="s">
        <v>577</v>
      </c>
      <c r="F27" s="512" t="str">
        <f>meldung_22</f>
        <v>Nur für Anlagen 10.450 - 15.900 !!!</v>
      </c>
      <c r="G27" s="513"/>
      <c r="H27" s="514"/>
      <c r="I27" s="515"/>
      <c r="J27" s="513"/>
      <c r="K27" s="516"/>
      <c r="L27" s="242"/>
    </row>
    <row r="28" spans="2:12" ht="30" customHeight="1">
      <c r="B28" s="920" t="s">
        <v>238</v>
      </c>
      <c r="C28" s="91" t="s">
        <v>578</v>
      </c>
      <c r="D28" s="85" t="s">
        <v>283</v>
      </c>
      <c r="E28" s="296" t="s">
        <v>575</v>
      </c>
      <c r="F28" s="125" t="str">
        <f>IF(laufrad_form="S",IF(OR(CONCATENATE(dn_zub_dnds_st,"/",dnt)="50/32",CONCATENATE(dn_zub_dnds_st,"/",dnt)="32/32"),"Rp 1 1/4",IF(OR(CONCATENATE(dn_zub_dnds_st,"/",dnt)="50/50",CONCATENATE(dn_zub_dnds_st,"/",dnt)="32/50"),"Rp 2",meldung_91)),meldung_10)</f>
        <v>nur für S-Rad</v>
      </c>
      <c r="G28" s="103"/>
      <c r="H28" s="301" t="str">
        <f>IF(OR(($G28)="nein",ISBLANK($G28),$G28=" ")=TRUE,meldung_8,IF(ISNA(VLOOKUP(IF(F28="Rp 1 1/4","1 1/4","2"),zub_p111,zub_bez_liste_spnr,FALSE))=TRUE,meldung_9,IF(OR(VLOOKUP(IF(F28="Rp 1 1/4","1 1/4","2"),zub_p111,zub_bez_liste_spnr,FALSE)="D",VLOOKUP(IF(F28="Rp 1 1/4","1 1/4","2"),zub_p111,zub_bez_liste_spnr,FALSE)="ZD"),VLOOKUP(IF(F28="Rp 1 1/4","1 1/4","2"),zub_p111,17,FALSE),meldung_8)))</f>
        <v>keine Auswahl</v>
      </c>
      <c r="I28" s="387" t="str">
        <f>IF(OR(($G28)="nein",ISBLANK($G28),$G28=" ")=TRUE,meldung_8,IF(ISNA(VLOOKUP(IF(F28="Rp 1 1/4","1 1/4","2"),zub_p111,zub_bez_liste_spnr,FALSE))=TRUE,meldung_9,IF(OR(VLOOKUP(IF(F28="Rp 1 1/4","1 1/4","2"),zub_p111,zub_bez_liste_spnr,FALSE)="D",VLOOKUP(IF(F28="Rp 1 1/4","1 1/4","2"),zub_p111,zub_bez_liste_spnr,FALSE)="ZD")=TRUE,VLOOKUP(IF(F28="Rp 1 1/4","1 1/4","2"),zub_p111,18,FALSE),meldung_7)))</f>
        <v>keine Auswahl</v>
      </c>
      <c r="J28" s="103"/>
      <c r="K28" s="253" t="str">
        <f t="shared" si="1"/>
        <v>keine Auswahl</v>
      </c>
      <c r="L28" s="242"/>
    </row>
    <row r="29" spans="2:12" ht="30" customHeight="1">
      <c r="B29" s="921"/>
      <c r="C29" s="295" t="s">
        <v>579</v>
      </c>
      <c r="D29" s="86" t="s">
        <v>283</v>
      </c>
      <c r="E29" s="296" t="s">
        <v>575</v>
      </c>
      <c r="F29" s="125" t="str">
        <f>IF(laufrad_form="S",IF(OR(CONCATENATE(dn_zub_dnds_st,"/",dnt)="50/32",CONCATENATE(dn_zub_dnds_st,"/",dnt)="32/32"),"Rp 1 1/4",IF(OR(CONCATENATE(dn_zub_dnds_st,"/",dnt)="50/50",CONCATENATE(dn_zub_dnds_st,"/",dnt)="32/50"),"Rp 2",meldung_91)),meldung_10)</f>
        <v>nur für S-Rad</v>
      </c>
      <c r="G29" s="103"/>
      <c r="H29" s="301" t="str">
        <f>IF(OR(($G29)="nein",ISBLANK($G29),$G29=" ")=TRUE,meldung_8,IF(ISNA(VLOOKUP(IF(F29="Rp 1 1/4","1 1/4","2"),zub_p112,zub_bez_liste_spnr,FALSE))=TRUE,meldung_9,IF(OR(VLOOKUP(IF(F29="Rp 1 1/4","1 1/4","2"),zub_p112,zub_bez_liste_spnr,FALSE)="D",VLOOKUP(IF(F29="Rp 1 1/4","1 1/4","2"),zub_p112,zub_bez_liste_spnr,FALSE)="ZD"),VLOOKUP(IF(F29="Rp 1 1/4","1 1/4","2"),zub_p112,17,FALSE),meldung_8)))</f>
        <v>keine Auswahl</v>
      </c>
      <c r="I29" s="387" t="str">
        <f>IF(OR(($G29)="nein",ISBLANK($G29),$G29=" ")=TRUE,meldung_8,IF(ISNA(VLOOKUP(IF(F29="Rp 1 1/4","1 1/4","2"),zub_p112,zub_bez_liste_spnr,FALSE))=TRUE,meldung_9,IF(OR(VLOOKUP(IF(F29="Rp 1 1/4","1 1/4","2"),zub_p112,zub_bez_liste_spnr,FALSE)="D",VLOOKUP(IF(F29="Rp 1 1/4","1 1/4","2"),zub_p112,zub_bez_liste_spnr,FALSE)="ZD")=TRUE,VLOOKUP(IF(F29="Rp 1 1/4","1 1/4","2"),zub_p112,18,FALSE),meldung_7)))</f>
        <v>keine Auswahl</v>
      </c>
      <c r="J29" s="103"/>
      <c r="K29" s="253" t="str">
        <f t="shared" si="1"/>
        <v>keine Auswahl</v>
      </c>
    </row>
    <row r="30" spans="2:12" ht="15" customHeight="1">
      <c r="B30" s="921"/>
      <c r="C30" s="81" t="s">
        <v>265</v>
      </c>
      <c r="D30" s="86" t="s">
        <v>282</v>
      </c>
      <c r="E30" s="97"/>
      <c r="F30" s="911" t="e">
        <f>dn_zub_dnds_st</f>
        <v>#N/A</v>
      </c>
      <c r="G30" s="925"/>
      <c r="H30" s="915" t="str">
        <f>IF(OR(($G30)="nein",ISBLANK($G30),$G30=" ")=TRUE,meldung_8,IF(ISBLANK($G$30)=TRUE,meldung_8,IF(ISNA(VLOOKUP(dn_zub_dnds_st,zub_p114,zub_bez_liste_spnr,FALSE))=TRUE,meldung_9,IF(OR(VLOOKUP(dn_zub_dnds_st,zub_p114,zub_bez_liste_spnr,FALSE)="D",VLOOKUP(dn_zub_dnds_st,zub_p114,zub_bez_liste_spnr,FALSE)="ZD"),VLOOKUP(dn_zub_dnds_st,zub_p114,17,FALSE),meldung_9))))</f>
        <v>keine Auswahl</v>
      </c>
      <c r="I30" s="916" t="str">
        <f>IF(OR(($G30)="nein",ISBLANK($G30),$G30=" ")=TRUE,meldung_8,IF(ISBLANK($G$30)=TRUE,meldung_8,IF(ISNA(VLOOKUP(dn_zub_dnds_st,zub_p114,zub_bez_liste_spnr,FALSE))=TRUE,meldung_9,IF(OR(VLOOKUP(dn_zub_dnds_st,zub_p114,zub_bez_liste_spnr,FALSE)="D",VLOOKUP(dn_zub_dnds_st,zub_p114,zub_bez_liste_spnr,FALSE)="ZD"),VLOOKUP(dn_zub_dnds_st,zub_p114,18,FALSE),meldung_9))))</f>
        <v>keine Auswahl</v>
      </c>
      <c r="J30" s="925"/>
      <c r="K30" s="929" t="str">
        <f t="shared" ref="K30:K35" si="2">IF(OR(($G30)="nein",ISBLANK($G30),$G30=" ")=TRUE,meldung_8,IF(OR(ISBLANK($J30),$J30=" ")=TRUE,meldung_73,IF(ISERROR($J30*$I30)=TRUE,"0",$J30*$I30)))</f>
        <v>keine Auswahl</v>
      </c>
      <c r="L30" s="265"/>
    </row>
    <row r="31" spans="2:12" ht="15" customHeight="1">
      <c r="B31" s="921"/>
      <c r="C31" s="82" t="s">
        <v>902</v>
      </c>
      <c r="D31" s="89"/>
      <c r="E31" s="84"/>
      <c r="F31" s="912"/>
      <c r="G31" s="926"/>
      <c r="H31" s="915"/>
      <c r="I31" s="916"/>
      <c r="J31" s="926"/>
      <c r="K31" s="930" t="str">
        <f t="shared" si="2"/>
        <v>keine Auswahl</v>
      </c>
    </row>
    <row r="32" spans="2:12" ht="15" customHeight="1">
      <c r="B32" s="921"/>
      <c r="C32" s="81" t="s">
        <v>241</v>
      </c>
      <c r="D32" s="86" t="s">
        <v>283</v>
      </c>
      <c r="E32" s="86"/>
      <c r="F32" s="911" t="e">
        <f>dn_zub_dnds_st</f>
        <v>#N/A</v>
      </c>
      <c r="G32" s="925"/>
      <c r="H32" s="915" t="str">
        <f>IF(OR(($G32)="nein",ISBLANK($G32),$G32=" ")=TRUE,meldung_8,IF(ISBLANK($G$32)=TRUE,meldung_8,IF(ISNA(VLOOKUP(dn_zub_dnds_st,zub_p115,zub_bez_liste_spnr,FALSE))=TRUE,meldung_9,IF(OR(VLOOKUP(dn_zub_dnds_st,zub_p115,zub_bez_liste_spnr,FALSE)="D",VLOOKUP(dn_zub_dnds_st,zub_p115,zub_bez_liste_spnr,FALSE)="ZD"),VLOOKUP(dn_zub_dnds_st,zub_p115,17,FALSE),meldung_9))))</f>
        <v>keine Auswahl</v>
      </c>
      <c r="I32" s="916" t="str">
        <f>IF(OR(($G32)="nein",ISBLANK($G32),$G32=" ")=TRUE,meldung_8,IF(ISBLANK($G$32)=TRUE,meldung_8,IF(ISNA(VLOOKUP(dn_zub_dnds_st,zub_p115,zub_bez_liste_spnr,FALSE))=TRUE,meldung_9,IF(OR(VLOOKUP(dn_zub_dnds_st,zub_p115,zub_bez_liste_spnr,FALSE)="D",VLOOKUP(dn_zub_dnds_st,zub_p115,zub_bez_liste_spnr,FALSE)="ZD"),VLOOKUP(dn_zub_dnds_st,zub_p115,18,FALSE),meldung_9))))</f>
        <v>keine Auswahl</v>
      </c>
      <c r="J32" s="925"/>
      <c r="K32" s="929" t="str">
        <f t="shared" si="2"/>
        <v>keine Auswahl</v>
      </c>
    </row>
    <row r="33" spans="1:13" ht="15" customHeight="1">
      <c r="B33" s="922"/>
      <c r="C33" s="79" t="s">
        <v>565</v>
      </c>
      <c r="D33" s="88"/>
      <c r="E33" s="84"/>
      <c r="F33" s="912"/>
      <c r="G33" s="938"/>
      <c r="H33" s="915"/>
      <c r="I33" s="916"/>
      <c r="J33" s="926"/>
      <c r="K33" s="930" t="str">
        <f t="shared" si="2"/>
        <v>keine Auswahl</v>
      </c>
    </row>
    <row r="34" spans="1:13" ht="30" customHeight="1">
      <c r="B34" s="124" t="s">
        <v>243</v>
      </c>
      <c r="C34" s="80" t="s">
        <v>244</v>
      </c>
      <c r="D34" s="87"/>
      <c r="E34" s="87"/>
      <c r="F34" s="126" t="e">
        <f>dn_zub_dnds_st</f>
        <v>#N/A</v>
      </c>
      <c r="G34" s="103"/>
      <c r="H34" s="302" t="str">
        <f>IF(OR(($G34)="nein",ISBLANK($G34),$G34=" ")=TRUE,meldung_8,IF(ISBLANK($G$34)=TRUE,meldung_8,IF(ISNA(VLOOKUP(dn_zub_dnds_st,zub_p12,zub_bez_liste_spnr,FALSE))=TRUE,meldung_9,IF(OR(VLOOKUP(dn_zub_dnds_st,zub_p12,zub_bez_liste_spnr,FALSE)="D",VLOOKUP(dn_zub_dnds_st,zub_p12,zub_bez_liste_spnr,FALSE)="ZD"),VLOOKUP(dn_zub_dnds_st,zub_p12,17,FALSE),meldung_9))))</f>
        <v>keine Auswahl</v>
      </c>
      <c r="I34" s="388" t="str">
        <f>IF(OR(($G34)="nein",ISBLANK($G34),$G34=" ")=TRUE,meldung_8,IF(ISNA(VLOOKUP(dn_zub_dnds_st,zub_p12,zub_bez_liste_spnr,FALSE))=TRUE,meldung_9,IF(OR(VLOOKUP(dn_zub_dnds_st,zub_p12,zub_bez_liste_spnr,FALSE)="D",VLOOKUP(dn_zub_dnds_st,zub_p12,zub_bez_liste_spnr,FALSE)="ZD"),VLOOKUP(dn_zub_dnds_st,zub_p12,18,FALSE),meldung_9)))</f>
        <v>keine Auswahl</v>
      </c>
      <c r="J34" s="104"/>
      <c r="K34" s="254" t="str">
        <f t="shared" si="2"/>
        <v>keine Auswahl</v>
      </c>
    </row>
    <row r="35" spans="1:13" ht="30" customHeight="1">
      <c r="B35" s="124" t="s">
        <v>245</v>
      </c>
      <c r="C35" s="80" t="s">
        <v>246</v>
      </c>
      <c r="D35" s="312" t="e">
        <f>IF(RIGHT(anlage_ermittelt,3)="450",meldung_75,IF(RIGHT(anlage_ermittelt,3)="900",meldung_74,""))</f>
        <v>#N/A</v>
      </c>
      <c r="E35" s="296"/>
      <c r="F35" s="377" t="str">
        <f>IF(anlagen_art_duo="nein",meldung_95,dn_zub_dnds_st)</f>
        <v>nur für Doppelanlagen</v>
      </c>
      <c r="G35" s="103"/>
      <c r="H35" s="378" t="str">
        <f>IF(OR(($G35)="nein",ISBLANK($G35),$G35=" ")=TRUE,meldung_8,IF(ISBLANK($G$35)=TRUE,meldung_8,IF(ISNA(VLOOKUP(dnds_zub_hr_suchverweis,zub_p13,zub_bez_liste_spnr_p13,FALSE))=TRUE,meldung_9,IF(OR(VLOOKUP(dnds_zub_hr_suchverweis,zub_p13,zub_bez_liste_spnr_p13,FALSE)="D",VLOOKUP(dnds_zub_hr_suchverweis,zub_p13,zub_bez_liste_spnr_p13,FALSE)="ZD"),VLOOKUP(dnds_zub_hr_suchverweis,zub_p13,19,FALSE),meldung_9))))</f>
        <v>keine Auswahl</v>
      </c>
      <c r="I35" s="388" t="str">
        <f>IF(OR(($G35)="nein",ISBLANK($G35),$G35=" ")=TRUE,meldung_8,IF(ISNA(VLOOKUP(dnds_zub_hr_suchverweis,zub_p13,zub_bez_liste_spnr_p13,FALSE))=TRUE,meldung_9,IF(OR(VLOOKUP(dnds_zub_hr_suchverweis,zub_p13,zub_bez_liste_spnr_p13,FALSE)="D",VLOOKUP(dnds_zub_hr_suchverweis,zub_p13,zub_bez_liste_spnr_p13,FALSE)="ZD"),VLOOKUP(dnds_zub_hr_suchverweis,zub_p13,20,FALSE),meldung_9)))</f>
        <v>keine Auswahl</v>
      </c>
      <c r="J35" s="379"/>
      <c r="K35" s="254" t="str">
        <f t="shared" si="2"/>
        <v>keine Auswahl</v>
      </c>
    </row>
    <row r="36" spans="1:13" ht="30" customHeight="1" thickBot="1">
      <c r="B36" s="124" t="s">
        <v>266</v>
      </c>
      <c r="C36" s="88" t="s">
        <v>267</v>
      </c>
      <c r="D36" s="88"/>
      <c r="E36" s="296" t="s">
        <v>577</v>
      </c>
      <c r="F36" s="263" t="e">
        <f>IF(laufrad_ist&lt;10,meldung_22,"")</f>
        <v>#VALUE!</v>
      </c>
      <c r="G36" s="369"/>
      <c r="H36" s="518"/>
      <c r="I36" s="517"/>
      <c r="J36" s="369"/>
      <c r="K36" s="370"/>
      <c r="L36" s="311"/>
    </row>
    <row r="37" spans="1:13" ht="13.5" thickTop="1" thickBot="1"/>
    <row r="38" spans="1:13" ht="21" thickBot="1">
      <c r="B38" s="905" t="s">
        <v>580</v>
      </c>
      <c r="C38" s="906"/>
      <c r="D38" s="906"/>
      <c r="E38" s="906"/>
      <c r="F38" s="906"/>
      <c r="G38" s="906"/>
      <c r="H38" s="906"/>
      <c r="I38" s="907"/>
    </row>
    <row r="39" spans="1:13" ht="30.75" thickBot="1">
      <c r="B39" s="115"/>
      <c r="C39" s="116"/>
      <c r="D39" s="116"/>
      <c r="E39" s="116"/>
      <c r="F39" s="117"/>
      <c r="G39" s="118" t="s">
        <v>561</v>
      </c>
      <c r="H39" s="92" t="s">
        <v>567</v>
      </c>
      <c r="I39" s="92" t="s">
        <v>568</v>
      </c>
      <c r="J39" s="380" t="s">
        <v>904</v>
      </c>
      <c r="K39" s="93" t="s">
        <v>569</v>
      </c>
    </row>
    <row r="40" spans="1:13" ht="30" customHeight="1" thickTop="1">
      <c r="B40" s="121" t="s">
        <v>247</v>
      </c>
      <c r="C40" s="78" t="s">
        <v>934</v>
      </c>
      <c r="D40" s="90"/>
      <c r="E40" s="94"/>
      <c r="F40" s="127" t="s">
        <v>248</v>
      </c>
      <c r="G40" s="102"/>
      <c r="H40" s="128" t="str">
        <f>IF(OR(($G40)="nein",ISBLANK($G40),$G40=" ")=TRUE,meldung_8,IF(ISBLANK($G$40)=TRUE,meldung_8,IF(OR(VLOOKUP("alle",zub_p14,zub_bez_liste_spnr,FALSE)="X",VLOOKUP("alle",zub_p14,zub_bez_liste_spnr,FALSE)="x"),VLOOKUP("alle",zub_p14,17,FALSE),meldung_9)))</f>
        <v>keine Auswahl</v>
      </c>
      <c r="I40" s="389" t="str">
        <f>IF(OR(($G40)="nein",ISBLANK($G40),$G40=" ")=TRUE,meldung_8,IF(ISBLANK($G$40)=TRUE,meldung_8,IF(OR(VLOOKUP("alle",zub_p14,zub_bez_liste_spnr,FALSE)="X",VLOOKUP("alle",zub_p14,zub_bez_liste_spnr,FALSE)="x"),VLOOKUP("alle",zub_p14,18,FALSE),meldung_9)))</f>
        <v>keine Auswahl</v>
      </c>
      <c r="J40" s="102"/>
      <c r="K40" s="249" t="str">
        <f>IF(OR(($G40)="nein",ISBLANK($G40),$G40=" ")=TRUE,meldung_8,IF(OR(ISBLANK($J40),$J40=" ")=TRUE,meldung_73,IF(ISERROR($J40*$I40)=TRUE,"0",$J40*$I40)))</f>
        <v>keine Auswahl</v>
      </c>
    </row>
    <row r="41" spans="1:13" ht="30" customHeight="1">
      <c r="B41" s="121" t="s">
        <v>249</v>
      </c>
      <c r="C41" s="80" t="s">
        <v>250</v>
      </c>
      <c r="D41" s="87"/>
      <c r="E41" s="95"/>
      <c r="F41" s="129" t="s">
        <v>248</v>
      </c>
      <c r="G41" s="103"/>
      <c r="H41" s="128" t="str">
        <f>IF(OR(($G41)="nein",ISBLANK($G41),$G41=" ")=TRUE,meldung_8,IF(ISBLANK($G$41)=TRUE,meldung_8,IF(OR(VLOOKUP("alle",zub_p15,zub_bez_liste_spnr,FALSE)="X",VLOOKUP("alle",zub_p15,zub_bez_liste_spnr,FALSE)="x"),VLOOKUP("alle",zub_p15,17,FALSE),meldung_9)))</f>
        <v>keine Auswahl</v>
      </c>
      <c r="I41" s="389" t="str">
        <f>IF(OR(($G41)="nein",ISBLANK($G41),$G41=" ")=TRUE,meldung_8,IF(ISBLANK($G$41)=TRUE,meldung_8,IF(OR(VLOOKUP("alle",zub_p15,zub_bez_liste_spnr,FALSE)="X",VLOOKUP("alle",zub_p15,zub_bez_liste_spnr,FALSE)="x"),VLOOKUP("alle",zub_p15,18,FALSE),meldung_9)))</f>
        <v>keine Auswahl</v>
      </c>
      <c r="J41" s="103"/>
      <c r="K41" s="250" t="str">
        <f>IF(OR(($G41)="nein",ISBLANK($G41),$G41=" ")=TRUE,meldung_8,IF(OR(ISBLANK($J41),$J41=" ")=TRUE,meldung_73,IF(ISERROR($J41*$I41)=TRUE,"0",$J41*$I41)))</f>
        <v>keine Auswahl</v>
      </c>
    </row>
    <row r="42" spans="1:13" ht="30" customHeight="1">
      <c r="B42" s="121" t="s">
        <v>251</v>
      </c>
      <c r="C42" s="80" t="s">
        <v>252</v>
      </c>
      <c r="D42" s="87"/>
      <c r="E42" s="95"/>
      <c r="F42" s="129" t="e">
        <f>INDEX(zub_bez_liste,1,zub_bez_liste_spnr)</f>
        <v>#VALUE!</v>
      </c>
      <c r="G42" s="103"/>
      <c r="H42" s="128" t="str">
        <f>IF(OR(($G42)="nein",ISBLANK($G42),$G42=" ")=TRUE,meldung_8,IF(ISBLANK($G$42)=TRUE,meldung_8,IF(OR(VLOOKUP(VLOOKUP(INDEX(zub_bez_liste,1,zub_bez_liste_spnr),db_zub!$X$7:$Y$20,2,FALSE),zub_p20,zub_bez_liste_spnr,FALSE)="X",VLOOKUP(VLOOKUP(INDEX(zub_bez_liste,1,zub_bez_liste_spnr),db_zub!X7:Y20,2,FALSE),zub_p20,zub_bez_liste_spnr,FALSE)="x"),VLOOKUP(VLOOKUP(INDEX(zub_bez_liste,1,zub_bez_liste_spnr),db_zub!$X$7:$Y$20,2,FALSE),zub_p20,17,FALSE),meldung_9)))</f>
        <v>keine Auswahl</v>
      </c>
      <c r="I42" s="389" t="str">
        <f>IF(OR(($G42)="nein",ISBLANK($G42),$G42=" ")=TRUE,meldung_8,IF(ISBLANK($G$42)=TRUE,meldung_8,IF(OR(VLOOKUP(VLOOKUP(INDEX(zub_bez_liste,1,zub_bez_liste_spnr),db_zub!$X$7:$Y$20,2,FALSE),zub_p20,zub_bez_liste_spnr,FALSE)="X",VLOOKUP(VLOOKUP(INDEX(zub_bez_liste,1,zub_bez_liste_spnr),db_zub!X7:Y20,2,FALSE),zub_p20,zub_bez_liste_spnr,FALSE)="x"),VLOOKUP(VLOOKUP(INDEX(zub_bez_liste,1,zub_bez_liste_spnr),db_zub!$X$7:$Y$20,2,FALSE),zub_p20,18,FALSE),meldung_9)))</f>
        <v>keine Auswahl</v>
      </c>
      <c r="J42" s="103"/>
      <c r="K42" s="250" t="str">
        <f>IF(OR(($G42)="nein",ISBLANK($G42),$G42=" ")=TRUE,meldung_8,IF(OR(ISBLANK($J42),$J42=" ")=TRUE,meldung_73,IF(ISERROR($J42*$I42)=TRUE,"0",$J42*$I42)))</f>
        <v>keine Auswahl</v>
      </c>
    </row>
    <row r="43" spans="1:13" ht="43.5" customHeight="1" thickBot="1">
      <c r="B43" s="121"/>
      <c r="C43" s="908" t="s">
        <v>908</v>
      </c>
      <c r="D43" s="909"/>
      <c r="E43" s="910"/>
      <c r="F43" s="406" t="s">
        <v>909</v>
      </c>
      <c r="G43" s="105"/>
      <c r="H43" s="371" t="str">
        <f>IF(OR(($G43)="nein",ISBLANK($G43),$G43=" ")=TRUE,meldung_8,IF(ISBLANK($G$43)=TRUE,meldung_8,IF(OR(VLOOKUP("alle",zub_p10jb,zub_bez_liste_spnr,FALSE)="X",VLOOKUP("alle",zub_p10jb,zub_bez_liste_spnr,FALSE)="x"),VLOOKUP("alle",zub_p10jb,17,FALSE),meldung_9)))</f>
        <v>keine Auswahl</v>
      </c>
      <c r="I43" s="390" t="str">
        <f>IF(OR(($G43)="nein",ISBLANK($G43),$G43=" ")=TRUE,meldung_8,IF(ISBLANK($G$43)=TRUE,meldung_8,IF(OR(VLOOKUP("alle",zub_p10jb,zub_bez_liste_spnr,FALSE)="X",VLOOKUP("alle",zub_p10jb,zub_bez_liste_spnr,FALSE)="x"),VLOOKUP("alle",zub_p10jb,18,FALSE),meldung_9)))</f>
        <v>keine Auswahl</v>
      </c>
      <c r="J43" s="105"/>
      <c r="K43" s="251" t="str">
        <f>IF(OR(($G43)="nein",ISBLANK($G43),$G43=" ")=TRUE,meldung_8,IF(OR(ISBLANK($J43),$J43=" ")=TRUE,meldung_73,IF(ISERROR($J43*$I43)=TRUE,"0",$J43*$I43)))</f>
        <v>keine Auswahl</v>
      </c>
    </row>
    <row r="44" spans="1:13" ht="13.5" thickTop="1" thickBot="1">
      <c r="J44" t="s">
        <v>296</v>
      </c>
    </row>
    <row r="45" spans="1:13" ht="44.25" customHeight="1" thickTop="1" thickBot="1">
      <c r="B45" s="905" t="s">
        <v>581</v>
      </c>
      <c r="C45" s="906"/>
      <c r="D45" s="906"/>
      <c r="E45" s="906"/>
      <c r="F45" s="906"/>
      <c r="G45" s="906"/>
      <c r="H45" s="906"/>
      <c r="I45" s="907"/>
      <c r="K45" s="258">
        <f>SUM(K8:K18,K23:K36,K40:K43)</f>
        <v>0</v>
      </c>
    </row>
    <row r="47" spans="1:13" ht="14.25">
      <c r="A47" s="64"/>
      <c r="B47" s="75" t="str">
        <f>CONCATENATE(meldung_66,meldung_80)</f>
        <v>Vervielfältigung und Weitergabe nicht erlaubt. Irrtümer und technische Änderungen vorbehalten. All rights reserved - KSB SE &amp; Co. KGaA- 2022 - ag</v>
      </c>
      <c r="C47" s="75"/>
      <c r="D47" s="75"/>
      <c r="E47" s="75"/>
      <c r="F47" s="75"/>
      <c r="G47" s="109"/>
      <c r="H47" s="109"/>
      <c r="I47" s="109"/>
      <c r="J47" s="64"/>
      <c r="K47" s="329" t="str">
        <f>meldung_81</f>
        <v xml:space="preserve">Druckdatum: </v>
      </c>
      <c r="L47" s="330">
        <f ca="1">TODAY()</f>
        <v>44746</v>
      </c>
      <c r="M47" s="328"/>
    </row>
  </sheetData>
  <sheetProtection algorithmName="SHA-512" hashValue="lgmQvabscS/UmUYDbiI5nmPxcJ21ye+yf47EtOOqsR4WHwDssXHK1LJVjrNwuaZRnZou6sLbHkZX77RlXQEZHA==" saltValue="pS48Hz/sIuKT2zjc2uOV0g==" spinCount="100000" sheet="1" selectLockedCells="1"/>
  <mergeCells count="41">
    <mergeCell ref="B2:C4"/>
    <mergeCell ref="M2:M4"/>
    <mergeCell ref="G30:G31"/>
    <mergeCell ref="B13:B17"/>
    <mergeCell ref="E2:L2"/>
    <mergeCell ref="E4:L4"/>
    <mergeCell ref="F16:F17"/>
    <mergeCell ref="F30:F31"/>
    <mergeCell ref="C11:E11"/>
    <mergeCell ref="B6:I6"/>
    <mergeCell ref="B7:E7"/>
    <mergeCell ref="C12:D12"/>
    <mergeCell ref="B28:B33"/>
    <mergeCell ref="G32:G33"/>
    <mergeCell ref="H32:H33"/>
    <mergeCell ref="K32:K33"/>
    <mergeCell ref="K16:K17"/>
    <mergeCell ref="K14:K15"/>
    <mergeCell ref="J32:J33"/>
    <mergeCell ref="G14:G15"/>
    <mergeCell ref="J14:J15"/>
    <mergeCell ref="G16:G17"/>
    <mergeCell ref="J16:J17"/>
    <mergeCell ref="G21:I21"/>
    <mergeCell ref="I32:I33"/>
    <mergeCell ref="K30:K31"/>
    <mergeCell ref="H14:H15"/>
    <mergeCell ref="I14:I15"/>
    <mergeCell ref="H16:H17"/>
    <mergeCell ref="I16:I17"/>
    <mergeCell ref="J30:J31"/>
    <mergeCell ref="B45:I45"/>
    <mergeCell ref="C43:E43"/>
    <mergeCell ref="F32:F33"/>
    <mergeCell ref="F14:F15"/>
    <mergeCell ref="H30:H31"/>
    <mergeCell ref="B20:I20"/>
    <mergeCell ref="I30:I31"/>
    <mergeCell ref="B22:E22"/>
    <mergeCell ref="B38:I38"/>
    <mergeCell ref="B25:B27"/>
  </mergeCells>
  <phoneticPr fontId="30" type="noConversion"/>
  <conditionalFormatting sqref="D25">
    <cfRule type="expression" dxfId="396" priority="2" stopIfTrue="1">
      <formula>#REF!="S"</formula>
    </cfRule>
  </conditionalFormatting>
  <conditionalFormatting sqref="C25">
    <cfRule type="cellIs" dxfId="395" priority="3" stopIfTrue="1" operator="equal">
      <formula>#REF!="S"</formula>
    </cfRule>
  </conditionalFormatting>
  <conditionalFormatting sqref="F25:F26 F28:F29">
    <cfRule type="expression" dxfId="394" priority="1">
      <formula>laufrad_form="F"</formula>
    </cfRule>
  </conditionalFormatting>
  <printOptions horizontalCentered="1" verticalCentered="1"/>
  <pageMargins left="0.78740157480314965" right="0.78740157480314965" top="0.69" bottom="0" header="0" footer="0"/>
  <pageSetup paperSize="9" scale="49" orientation="landscape" r:id="rId1"/>
  <headerFooter alignWithMargins="0"/>
  <customProperties>
    <customPr name="EpmWorksheetKeyString_GU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B3:H118"/>
  <sheetViews>
    <sheetView showGridLines="0" showRowColHeaders="0" showZeros="0" showOutlineSymbols="0" zoomScaleNormal="100" workbookViewId="0">
      <selection activeCell="E1" sqref="E1"/>
    </sheetView>
  </sheetViews>
  <sheetFormatPr baseColWidth="10" defaultRowHeight="12"/>
  <cols>
    <col min="1" max="1" width="0.5703125" style="271" customWidth="1"/>
    <col min="2" max="3" width="6.7109375" style="271" customWidth="1"/>
    <col min="4" max="4" width="3.85546875" style="271" customWidth="1"/>
    <col min="5" max="5" width="19" style="271" bestFit="1" customWidth="1"/>
    <col min="6" max="6" width="39.28515625" style="271" bestFit="1" customWidth="1"/>
    <col min="7" max="8" width="12.140625" style="271" customWidth="1"/>
    <col min="9" max="16384" width="11.42578125" style="271"/>
  </cols>
  <sheetData>
    <row r="3" spans="2:8" ht="15">
      <c r="G3" s="272"/>
      <c r="H3" s="273" t="e">
        <f>CONCATENATE(name_, " ",anl_bez)</f>
        <v>#VALUE!</v>
      </c>
    </row>
    <row r="4" spans="2:8" ht="12" customHeight="1">
      <c r="B4" s="274"/>
      <c r="C4" s="274"/>
      <c r="D4" s="274"/>
      <c r="E4" s="274"/>
      <c r="F4" s="274"/>
      <c r="G4" s="274"/>
      <c r="H4" s="274"/>
    </row>
    <row r="6" spans="2:8" ht="24" customHeight="1">
      <c r="B6" s="275" t="s">
        <v>481</v>
      </c>
      <c r="C6" s="275" t="s">
        <v>482</v>
      </c>
      <c r="D6" s="939" t="s">
        <v>483</v>
      </c>
      <c r="E6" s="939"/>
      <c r="F6" s="939"/>
      <c r="G6" s="275" t="s">
        <v>484</v>
      </c>
      <c r="H6" s="276" t="s">
        <v>485</v>
      </c>
    </row>
    <row r="7" spans="2:8">
      <c r="B7" s="277"/>
      <c r="C7" s="277"/>
      <c r="D7" s="278"/>
      <c r="E7" s="278"/>
      <c r="F7" s="278"/>
      <c r="G7" s="277"/>
      <c r="H7" s="277"/>
    </row>
    <row r="8" spans="2:8" ht="12.75">
      <c r="B8" s="277"/>
      <c r="C8" s="277"/>
      <c r="D8" s="279" t="s">
        <v>486</v>
      </c>
      <c r="E8" s="278"/>
      <c r="F8" s="278"/>
      <c r="G8" s="277"/>
      <c r="H8" s="277"/>
    </row>
    <row r="9" spans="2:8" ht="12.75">
      <c r="B9" s="277"/>
      <c r="C9" s="277"/>
      <c r="D9" s="279" t="e">
        <f>CONCATENATE(name_, " ",anl_bez)</f>
        <v>#VALUE!</v>
      </c>
      <c r="E9" s="278"/>
      <c r="F9" s="278"/>
      <c r="G9" s="277"/>
      <c r="H9" s="277"/>
    </row>
    <row r="10" spans="2:8">
      <c r="B10" s="277"/>
      <c r="C10" s="277"/>
      <c r="D10" s="278"/>
      <c r="E10" s="278"/>
      <c r="F10" s="278"/>
      <c r="G10" s="277"/>
      <c r="H10" s="277"/>
    </row>
    <row r="11" spans="2:8">
      <c r="B11" s="277"/>
      <c r="C11" s="277"/>
      <c r="D11" s="278" t="e">
        <f>CONCATENATE("Überflutbare, steckerfertige ",a_text_anlart,"anlage gemäß EN 12 050-1,")</f>
        <v>#N/A</v>
      </c>
      <c r="E11" s="278"/>
      <c r="F11" s="278"/>
      <c r="G11" s="277"/>
      <c r="H11" s="277"/>
    </row>
    <row r="12" spans="2:8">
      <c r="B12" s="277"/>
      <c r="C12" s="277"/>
      <c r="D12" s="278" t="s">
        <v>487</v>
      </c>
      <c r="E12" s="278"/>
      <c r="F12" s="278"/>
      <c r="G12" s="277"/>
      <c r="H12" s="277"/>
    </row>
    <row r="13" spans="2:8">
      <c r="B13" s="277"/>
      <c r="C13" s="277"/>
      <c r="D13" s="278"/>
      <c r="E13" s="278"/>
      <c r="F13" s="278"/>
      <c r="G13" s="277"/>
      <c r="H13" s="277"/>
    </row>
    <row r="14" spans="2:8" ht="12" customHeight="1">
      <c r="B14" s="277"/>
      <c r="C14" s="277"/>
      <c r="D14" s="280" t="s">
        <v>488</v>
      </c>
      <c r="E14" s="278" t="s">
        <v>489</v>
      </c>
      <c r="F14" s="278"/>
      <c r="G14" s="277"/>
      <c r="H14" s="277"/>
    </row>
    <row r="15" spans="2:8">
      <c r="B15" s="277"/>
      <c r="C15" s="277"/>
      <c r="E15" s="278" t="e">
        <f>CONCATENATE("Handlochdeckel, gas-, wasser- und geruchsdicht, mit",IF(a_text_anlart="Doppel"," 2 integrierten"," integriertem"))</f>
        <v>#N/A</v>
      </c>
      <c r="F15" s="278"/>
      <c r="G15" s="277"/>
      <c r="H15" s="277"/>
    </row>
    <row r="16" spans="2:8" ht="12" customHeight="1">
      <c r="B16" s="277"/>
      <c r="C16" s="277"/>
      <c r="E16" s="521" t="e">
        <f>a_text_allg_01</f>
        <v>#N/A</v>
      </c>
      <c r="F16" s="522"/>
      <c r="G16" s="277"/>
      <c r="H16" s="277"/>
    </row>
    <row r="17" spans="2:8" ht="12" customHeight="1">
      <c r="B17" s="277"/>
      <c r="C17" s="277"/>
      <c r="D17" s="278"/>
      <c r="E17" s="278"/>
      <c r="F17" s="278"/>
      <c r="G17" s="277"/>
      <c r="H17" s="277"/>
    </row>
    <row r="18" spans="2:8">
      <c r="B18" s="277"/>
      <c r="C18" s="277"/>
      <c r="D18" s="281" t="s">
        <v>275</v>
      </c>
      <c r="E18" s="278" t="s">
        <v>490</v>
      </c>
      <c r="F18" s="278"/>
      <c r="G18" s="277"/>
      <c r="H18" s="277"/>
    </row>
    <row r="19" spans="2:8">
      <c r="B19" s="277"/>
      <c r="C19" s="277"/>
      <c r="D19" s="282"/>
      <c r="E19" s="278" t="s">
        <v>491</v>
      </c>
      <c r="F19" s="278" t="e">
        <f>CONCATENATE("bis ",ROUND(a_text_qmax/3.6,1)," l/s ","(",a_text_qmax," m³/h)")</f>
        <v>#N/A</v>
      </c>
      <c r="G19" s="277"/>
      <c r="H19" s="277"/>
    </row>
    <row r="20" spans="2:8">
      <c r="B20" s="277"/>
      <c r="C20" s="277"/>
      <c r="D20" s="282"/>
      <c r="E20" s="278" t="s">
        <v>492</v>
      </c>
      <c r="F20" s="278" t="e">
        <f>CONCATENATE("bis ",a_text_hmax," m")</f>
        <v>#N/A</v>
      </c>
      <c r="G20" s="277"/>
      <c r="H20" s="277"/>
    </row>
    <row r="21" spans="2:8">
      <c r="B21" s="277"/>
      <c r="C21" s="277"/>
      <c r="D21" s="282"/>
      <c r="E21" s="278"/>
      <c r="F21" s="278"/>
      <c r="G21" s="277"/>
      <c r="H21" s="277"/>
    </row>
    <row r="22" spans="2:8">
      <c r="B22" s="277"/>
      <c r="C22" s="277"/>
      <c r="D22" s="281" t="s">
        <v>275</v>
      </c>
      <c r="E22" s="278" t="s">
        <v>493</v>
      </c>
      <c r="F22" s="278" t="e">
        <f>CONCATENATE(a_text_inhalt," l")</f>
        <v>#N/A</v>
      </c>
      <c r="G22" s="277"/>
      <c r="H22" s="277"/>
    </row>
    <row r="23" spans="2:8">
      <c r="B23" s="277"/>
      <c r="C23" s="277"/>
      <c r="D23" s="282"/>
      <c r="E23" s="278"/>
      <c r="F23" s="278"/>
      <c r="G23" s="277"/>
      <c r="H23" s="277"/>
    </row>
    <row r="24" spans="2:8">
      <c r="B24" s="277"/>
      <c r="C24" s="277"/>
      <c r="D24" s="281" t="s">
        <v>275</v>
      </c>
      <c r="E24" s="278" t="s">
        <v>494</v>
      </c>
      <c r="F24" s="278" t="e">
        <f>CONCATENATE(a_text_abm," mm")</f>
        <v>#N/A</v>
      </c>
      <c r="G24" s="277"/>
      <c r="H24" s="277"/>
    </row>
    <row r="25" spans="2:8">
      <c r="B25" s="277"/>
      <c r="C25" s="277"/>
      <c r="D25" s="282"/>
      <c r="E25" s="278"/>
      <c r="F25" s="278"/>
      <c r="G25" s="277"/>
      <c r="H25" s="277"/>
    </row>
    <row r="26" spans="2:8">
      <c r="B26" s="277"/>
      <c r="C26" s="277"/>
      <c r="D26" s="281" t="s">
        <v>275</v>
      </c>
      <c r="E26" s="278" t="s">
        <v>495</v>
      </c>
      <c r="F26" s="278"/>
      <c r="G26" s="277"/>
      <c r="H26" s="277"/>
    </row>
    <row r="27" spans="2:8">
      <c r="B27" s="277"/>
      <c r="C27" s="277"/>
      <c r="D27" s="282"/>
      <c r="E27" s="278" t="s">
        <v>57</v>
      </c>
      <c r="F27" s="278" t="e">
        <f>a_text_h1</f>
        <v>#N/A</v>
      </c>
      <c r="G27" s="277"/>
      <c r="H27" s="277"/>
    </row>
    <row r="28" spans="2:8">
      <c r="B28" s="277"/>
      <c r="C28" s="277"/>
      <c r="D28" s="282"/>
      <c r="E28" s="278"/>
      <c r="F28" s="278" t="e">
        <f>a_text_h2</f>
        <v>#N/A</v>
      </c>
      <c r="G28" s="277"/>
      <c r="H28" s="277"/>
    </row>
    <row r="29" spans="2:8">
      <c r="B29" s="277"/>
      <c r="C29" s="277"/>
      <c r="D29" s="282"/>
      <c r="E29" s="278"/>
      <c r="F29" s="278" t="e">
        <f>a_text_h3</f>
        <v>#N/A</v>
      </c>
      <c r="G29" s="277"/>
      <c r="H29" s="277"/>
    </row>
    <row r="30" spans="2:8">
      <c r="B30" s="277"/>
      <c r="C30" s="277"/>
      <c r="D30" s="282"/>
      <c r="E30" s="278"/>
      <c r="F30" s="278" t="e">
        <f>a_text_h4</f>
        <v>#N/A</v>
      </c>
      <c r="G30" s="277"/>
      <c r="H30" s="277"/>
    </row>
    <row r="31" spans="2:8">
      <c r="B31" s="277"/>
      <c r="C31" s="277"/>
      <c r="D31" s="282"/>
      <c r="E31" s="278"/>
      <c r="F31" s="278" t="e">
        <f>a_text_h5</f>
        <v>#N/A</v>
      </c>
      <c r="G31" s="277"/>
      <c r="H31" s="277"/>
    </row>
    <row r="32" spans="2:8">
      <c r="B32" s="277"/>
      <c r="C32" s="277"/>
      <c r="D32" s="281"/>
      <c r="E32" s="278"/>
      <c r="F32" s="278" t="e">
        <f>a_text_h6</f>
        <v>#N/A</v>
      </c>
      <c r="G32" s="277"/>
      <c r="H32" s="277"/>
    </row>
    <row r="33" spans="2:8">
      <c r="B33" s="277"/>
      <c r="C33" s="277"/>
      <c r="D33" s="282"/>
      <c r="E33" s="278"/>
      <c r="F33" s="278" t="e">
        <f>a_text_h7</f>
        <v>#N/A</v>
      </c>
      <c r="G33" s="277"/>
      <c r="H33" s="277"/>
    </row>
    <row r="34" spans="2:8">
      <c r="B34" s="277"/>
      <c r="C34" s="277"/>
      <c r="D34" s="278"/>
      <c r="E34" s="278" t="s">
        <v>496</v>
      </c>
      <c r="F34" s="278" t="e">
        <f>a_text_v1</f>
        <v>#N/A</v>
      </c>
      <c r="G34" s="277"/>
      <c r="H34" s="277"/>
    </row>
    <row r="35" spans="2:8">
      <c r="B35" s="277"/>
      <c r="C35" s="277"/>
      <c r="D35" s="278"/>
      <c r="E35" s="278"/>
      <c r="F35" s="278"/>
      <c r="G35" s="277"/>
      <c r="H35" s="277"/>
    </row>
    <row r="36" spans="2:8">
      <c r="B36" s="277"/>
      <c r="C36" s="277"/>
      <c r="D36" s="282" t="e">
        <f>IF(E36=" ","","-")</f>
        <v>#N/A</v>
      </c>
      <c r="E36" s="278" t="e">
        <f>a_text_mitte</f>
        <v>#N/A</v>
      </c>
      <c r="F36" s="278" t="e">
        <f>a_text_mitte_hor</f>
        <v>#N/A</v>
      </c>
      <c r="G36" s="277"/>
      <c r="H36" s="277"/>
    </row>
    <row r="37" spans="2:8">
      <c r="B37" s="277"/>
      <c r="C37" s="277"/>
      <c r="D37" s="278"/>
      <c r="E37" s="278"/>
      <c r="F37" s="278"/>
      <c r="G37" s="277"/>
      <c r="H37" s="277"/>
    </row>
    <row r="38" spans="2:8">
      <c r="B38" s="277"/>
      <c r="C38" s="277"/>
      <c r="D38" s="278"/>
      <c r="E38" s="278"/>
      <c r="F38" s="278"/>
      <c r="G38" s="277"/>
      <c r="H38" s="277"/>
    </row>
    <row r="39" spans="2:8">
      <c r="B39" s="277"/>
      <c r="C39" s="277"/>
      <c r="D39" s="278"/>
      <c r="E39" s="278"/>
      <c r="F39" s="278"/>
      <c r="G39" s="277"/>
      <c r="H39" s="277"/>
    </row>
    <row r="40" spans="2:8">
      <c r="B40" s="277"/>
      <c r="C40" s="277"/>
      <c r="D40" s="278"/>
      <c r="E40" s="278"/>
      <c r="F40" s="278"/>
      <c r="G40" s="277"/>
      <c r="H40" s="277"/>
    </row>
    <row r="41" spans="2:8">
      <c r="B41" s="277"/>
      <c r="C41" s="277"/>
      <c r="D41" s="281" t="s">
        <v>275</v>
      </c>
      <c r="E41" s="278" t="s">
        <v>497</v>
      </c>
      <c r="F41" s="278" t="e">
        <f>a_text_dr_an1</f>
        <v>#N/A</v>
      </c>
      <c r="G41" s="277"/>
      <c r="H41" s="277"/>
    </row>
    <row r="42" spans="2:8">
      <c r="B42" s="277"/>
      <c r="C42" s="277"/>
      <c r="D42" s="282"/>
      <c r="E42" s="278"/>
      <c r="F42" s="278" t="e">
        <f>a_text_dr_an2</f>
        <v>#N/A</v>
      </c>
      <c r="G42" s="277"/>
      <c r="H42" s="277"/>
    </row>
    <row r="43" spans="2:8">
      <c r="B43" s="277"/>
      <c r="C43" s="277"/>
      <c r="D43" s="282"/>
      <c r="E43" s="278"/>
      <c r="F43" s="278" t="str">
        <f>IF(laufrad_form="F","Gummischlauch mit Gewebeeinlage,","")</f>
        <v>Gummischlauch mit Gewebeeinlage,</v>
      </c>
      <c r="G43" s="277"/>
      <c r="H43" s="277"/>
    </row>
    <row r="44" spans="2:8">
      <c r="B44" s="277"/>
      <c r="C44" s="277"/>
      <c r="D44" s="282"/>
      <c r="E44" s="278"/>
      <c r="F44" s="278" t="str">
        <f>IF(laufrad_form="F","Differenzschlauch für  ","")</f>
        <v xml:space="preserve">Differenzschlauch für  </v>
      </c>
      <c r="G44" s="277"/>
      <c r="H44" s="277"/>
    </row>
    <row r="45" spans="2:8">
      <c r="B45" s="277"/>
      <c r="C45" s="277"/>
      <c r="D45" s="282"/>
      <c r="E45" s="278"/>
      <c r="F45" s="278" t="str">
        <f>IF(laufrad_form="F","","")</f>
        <v/>
      </c>
      <c r="G45" s="277"/>
      <c r="H45" s="277"/>
    </row>
    <row r="46" spans="2:8">
      <c r="B46" s="277"/>
      <c r="C46" s="277"/>
      <c r="D46" s="282"/>
      <c r="E46" s="278"/>
      <c r="F46" s="278"/>
      <c r="G46" s="277"/>
      <c r="H46" s="277"/>
    </row>
    <row r="47" spans="2:8">
      <c r="B47" s="277"/>
      <c r="C47" s="277"/>
      <c r="D47" s="281" t="s">
        <v>275</v>
      </c>
      <c r="E47" s="278" t="s">
        <v>498</v>
      </c>
      <c r="F47" s="278" t="e">
        <f>CONCATENATE(a_text_entl,", einschl. elastischer ")</f>
        <v>#N/A</v>
      </c>
      <c r="G47" s="277"/>
      <c r="H47" s="277"/>
    </row>
    <row r="48" spans="2:8">
      <c r="B48" s="277"/>
      <c r="C48" s="277"/>
      <c r="D48" s="282"/>
      <c r="E48" s="278"/>
      <c r="F48" s="278" t="s">
        <v>499</v>
      </c>
      <c r="G48" s="277"/>
      <c r="H48" s="277"/>
    </row>
    <row r="49" spans="2:8">
      <c r="B49" s="277"/>
      <c r="C49" s="277"/>
      <c r="D49" s="282"/>
      <c r="E49" s="278"/>
      <c r="F49" s="278"/>
      <c r="G49" s="277"/>
      <c r="H49" s="277"/>
    </row>
    <row r="50" spans="2:8">
      <c r="B50" s="277"/>
      <c r="C50" s="277"/>
      <c r="D50" s="281" t="s">
        <v>275</v>
      </c>
      <c r="E50" s="278" t="s">
        <v>500</v>
      </c>
      <c r="F50" s="278" t="s">
        <v>501</v>
      </c>
      <c r="G50" s="277"/>
      <c r="H50" s="277"/>
    </row>
    <row r="51" spans="2:8">
      <c r="B51" s="277"/>
      <c r="C51" s="277"/>
      <c r="D51" s="282"/>
      <c r="E51" s="278"/>
      <c r="F51" s="278" t="s">
        <v>502</v>
      </c>
      <c r="G51" s="277"/>
      <c r="H51" s="277"/>
    </row>
    <row r="52" spans="2:8">
      <c r="B52" s="277"/>
      <c r="C52" s="277"/>
      <c r="D52" s="282"/>
      <c r="E52" s="278"/>
      <c r="F52" s="278"/>
      <c r="G52" s="277"/>
      <c r="H52" s="277"/>
    </row>
    <row r="53" spans="2:8" ht="12" customHeight="1">
      <c r="B53" s="277"/>
      <c r="C53" s="277"/>
      <c r="D53" s="280" t="s">
        <v>488</v>
      </c>
      <c r="E53" s="278" t="e">
        <f>CONCATENATE(a_text_ppanz,IF(laufrad_form="F"," mit Freistromrad "," mit Schneideinrichtung aus "),a_text_lrad_wkst,",")</f>
        <v>#N/A</v>
      </c>
      <c r="F53" s="278"/>
      <c r="G53" s="277"/>
      <c r="H53" s="277"/>
    </row>
    <row r="54" spans="2:8">
      <c r="B54" s="277"/>
      <c r="C54" s="277"/>
      <c r="D54" s="282"/>
      <c r="E54" s="278" t="e">
        <f>a_text_wd1</f>
        <v>#N/A</v>
      </c>
      <c r="F54" s="278"/>
      <c r="G54" s="277"/>
      <c r="H54" s="277"/>
    </row>
    <row r="55" spans="2:8">
      <c r="B55" s="277"/>
      <c r="C55" s="277"/>
      <c r="D55" s="282"/>
      <c r="E55" s="278" t="e">
        <f>a_text_wd2</f>
        <v>#N/A</v>
      </c>
      <c r="F55" s="278"/>
      <c r="G55" s="277"/>
      <c r="H55" s="277"/>
    </row>
    <row r="56" spans="2:8">
      <c r="B56" s="277"/>
      <c r="C56" s="277"/>
      <c r="D56" s="282"/>
      <c r="E56" s="278" t="e">
        <f>CONCATENATE(a_text_mot_art,"strommotor mit eingebautem Überlastungsschutz,")</f>
        <v>#N/A</v>
      </c>
      <c r="F56" s="278"/>
      <c r="G56" s="277"/>
      <c r="H56" s="277"/>
    </row>
    <row r="57" spans="2:8">
      <c r="B57" s="277"/>
      <c r="C57" s="277"/>
      <c r="D57" s="282"/>
      <c r="E57" s="278" t="s">
        <v>503</v>
      </c>
      <c r="F57" s="278"/>
      <c r="G57" s="277"/>
      <c r="H57" s="277"/>
    </row>
    <row r="58" spans="2:8">
      <c r="B58" s="277"/>
      <c r="C58" s="277"/>
      <c r="D58" s="282"/>
      <c r="E58" s="278"/>
      <c r="F58" s="278"/>
      <c r="G58" s="277"/>
      <c r="H58" s="277"/>
    </row>
    <row r="59" spans="2:8" ht="12" customHeight="1">
      <c r="B59" s="277"/>
      <c r="C59" s="277"/>
      <c r="D59" s="280" t="s">
        <v>488</v>
      </c>
      <c r="E59" s="278" t="s">
        <v>504</v>
      </c>
      <c r="F59" s="278"/>
      <c r="G59" s="277"/>
      <c r="H59" s="277"/>
    </row>
    <row r="60" spans="2:8">
      <c r="B60" s="277"/>
      <c r="C60" s="277"/>
      <c r="D60" s="282"/>
      <c r="E60" s="278"/>
      <c r="F60" s="278"/>
      <c r="G60" s="277"/>
      <c r="H60" s="277"/>
    </row>
    <row r="61" spans="2:8">
      <c r="B61" s="283"/>
      <c r="C61" s="283"/>
      <c r="D61" s="274"/>
      <c r="E61" s="274"/>
      <c r="F61" s="274"/>
      <c r="G61" s="284"/>
      <c r="H61" s="284"/>
    </row>
    <row r="62" spans="2:8">
      <c r="B62" s="278"/>
      <c r="C62" s="278"/>
      <c r="D62" s="278"/>
      <c r="E62" s="278"/>
      <c r="F62" s="278"/>
      <c r="G62" s="331" t="str">
        <f>meldung_81</f>
        <v xml:space="preserve">Druckdatum: </v>
      </c>
      <c r="H62" s="332">
        <f ca="1">TODAY()</f>
        <v>44746</v>
      </c>
    </row>
    <row r="63" spans="2:8">
      <c r="B63" s="278"/>
      <c r="C63" s="278"/>
      <c r="D63" s="278"/>
      <c r="E63" s="278"/>
      <c r="F63" s="278"/>
      <c r="G63" s="331"/>
      <c r="H63" s="332"/>
    </row>
    <row r="65" spans="2:8" ht="12.75" customHeight="1"/>
    <row r="66" spans="2:8" ht="15">
      <c r="H66" s="273" t="e">
        <f>H3</f>
        <v>#VALUE!</v>
      </c>
    </row>
    <row r="67" spans="2:8" ht="12" customHeight="1">
      <c r="B67" s="278"/>
      <c r="C67" s="278"/>
      <c r="D67" s="278"/>
      <c r="E67" s="278"/>
      <c r="F67" s="278"/>
      <c r="G67" s="278"/>
      <c r="H67" s="278"/>
    </row>
    <row r="68" spans="2:8">
      <c r="B68" s="285"/>
      <c r="C68" s="285"/>
      <c r="D68" s="285"/>
      <c r="E68" s="285"/>
      <c r="F68" s="285"/>
      <c r="G68" s="285"/>
      <c r="H68" s="285"/>
    </row>
    <row r="69" spans="2:8">
      <c r="B69" s="275" t="s">
        <v>481</v>
      </c>
      <c r="C69" s="275" t="s">
        <v>482</v>
      </c>
      <c r="D69" s="939" t="s">
        <v>483</v>
      </c>
      <c r="E69" s="939"/>
      <c r="F69" s="939"/>
      <c r="G69" s="275" t="s">
        <v>484</v>
      </c>
      <c r="H69" s="286" t="s">
        <v>485</v>
      </c>
    </row>
    <row r="70" spans="2:8">
      <c r="B70" s="277"/>
      <c r="C70" s="277"/>
      <c r="D70" s="278"/>
      <c r="G70" s="277"/>
      <c r="H70" s="287"/>
    </row>
    <row r="71" spans="2:8" ht="15">
      <c r="B71" s="277"/>
      <c r="C71" s="277"/>
      <c r="D71" s="280" t="s">
        <v>488</v>
      </c>
      <c r="E71" s="271" t="e">
        <f>CONCATENATE("Einer elektronischen Steuereinheit LevelControl ",IF(a_text_anlart="Einzel", "Basic","Basic2") )</f>
        <v>#N/A</v>
      </c>
      <c r="G71" s="277"/>
      <c r="H71" s="287"/>
    </row>
    <row r="72" spans="2:8">
      <c r="B72" s="277"/>
      <c r="C72" s="277"/>
      <c r="D72" s="288" t="s">
        <v>275</v>
      </c>
      <c r="E72" s="271" t="e">
        <f>CONCATENATE(IF(a_text_anlart="Einzel", "vollautomatisch und selbstanpassend","selbstanpassende, vollautomatische, Steuereinheit") )</f>
        <v>#N/A</v>
      </c>
      <c r="G72" s="277"/>
      <c r="H72" s="287"/>
    </row>
    <row r="73" spans="2:8">
      <c r="B73" s="277"/>
      <c r="C73" s="277"/>
      <c r="D73" s="288" t="s">
        <v>275</v>
      </c>
      <c r="E73" s="271" t="e">
        <f>CONCATENATE(IF(a_text_anlart="Einzel", "kontinuierliche, analoge Füllstandsmessung","analoge Füllstandsmessung mit Sensorüberwachung") )</f>
        <v>#N/A</v>
      </c>
      <c r="G73" s="277"/>
      <c r="H73" s="287"/>
    </row>
    <row r="74" spans="2:8">
      <c r="B74" s="277"/>
      <c r="C74" s="277"/>
      <c r="D74" s="288" t="s">
        <v>275</v>
      </c>
      <c r="E74" s="271" t="s">
        <v>505</v>
      </c>
      <c r="G74" s="277"/>
      <c r="H74" s="287"/>
    </row>
    <row r="75" spans="2:8">
      <c r="B75" s="277"/>
      <c r="C75" s="277"/>
      <c r="D75" s="288" t="s">
        <v>275</v>
      </c>
      <c r="E75" s="325" t="e">
        <f>CONCATENATE(IF(a_text_anlart="Einzel", "automatische Erkennung und Ausgleich vertikaler","gleichmäßige Pumpenauslastung durch automatischen ") )</f>
        <v>#N/A</v>
      </c>
      <c r="G75" s="277"/>
      <c r="H75" s="287"/>
    </row>
    <row r="76" spans="2:8">
      <c r="B76" s="277"/>
      <c r="C76" s="277"/>
      <c r="D76" s="288"/>
      <c r="E76" s="271" t="e">
        <f>CONCATENATE(IF(a_text_anlart="Einzel", "Pendelbewegung","Pumpenwechsel") )</f>
        <v>#N/A</v>
      </c>
      <c r="G76" s="277"/>
      <c r="H76" s="287"/>
    </row>
    <row r="77" spans="2:8">
      <c r="B77" s="277"/>
      <c r="C77" s="277"/>
      <c r="D77" s="288" t="s">
        <v>275</v>
      </c>
      <c r="E77" s="325" t="e">
        <f>CONCATENATE(IF(a_text_anlart="Einzel", "permanente Selbstdiagnose und Sensorüberwachung","steckerfertig mit 1 m Netzanschlussleitung") )</f>
        <v>#N/A</v>
      </c>
      <c r="G77" s="277"/>
      <c r="H77" s="287"/>
    </row>
    <row r="78" spans="2:8">
      <c r="B78" s="277"/>
      <c r="C78" s="277"/>
      <c r="D78" s="288" t="s">
        <v>275</v>
      </c>
      <c r="E78" s="271" t="s">
        <v>506</v>
      </c>
      <c r="G78" s="277"/>
      <c r="H78" s="287"/>
    </row>
    <row r="79" spans="2:8">
      <c r="B79" s="277"/>
      <c r="C79" s="277"/>
      <c r="D79" s="288" t="s">
        <v>275</v>
      </c>
      <c r="E79" s="271" t="s">
        <v>507</v>
      </c>
      <c r="G79" s="277"/>
      <c r="H79" s="287"/>
    </row>
    <row r="80" spans="2:8">
      <c r="B80" s="277"/>
      <c r="C80" s="277"/>
      <c r="D80" s="288" t="s">
        <v>275</v>
      </c>
      <c r="E80" s="325" t="e">
        <f>CONCATENATE(IF(a_text_anlart="Einzel", "Meldeleuchte Pumpenzustand","Meldeleuchten für Betrieb, Störung und Hochwasser") )</f>
        <v>#N/A</v>
      </c>
      <c r="G80" s="277"/>
      <c r="H80" s="287"/>
    </row>
    <row r="81" spans="2:8">
      <c r="B81" s="277"/>
      <c r="C81" s="277"/>
      <c r="D81" s="288" t="s">
        <v>275</v>
      </c>
      <c r="E81" s="271" t="s">
        <v>508</v>
      </c>
      <c r="G81" s="277"/>
      <c r="H81" s="287"/>
    </row>
    <row r="82" spans="2:8">
      <c r="B82" s="277"/>
      <c r="C82" s="277"/>
      <c r="D82" s="288" t="s">
        <v>275</v>
      </c>
      <c r="E82" s="271" t="e">
        <f>CONCATENATE(IF(a_text_anlart="Einzel", "Pumpenschutz mit Wicklungsschutzkontakt","Pumpenschutz mit Wicklungsschutzkontakt und Motorschutzschalter") )</f>
        <v>#N/A</v>
      </c>
      <c r="G82" s="277"/>
      <c r="H82" s="287"/>
    </row>
    <row r="83" spans="2:8">
      <c r="B83" s="277"/>
      <c r="C83" s="277"/>
      <c r="D83" s="288" t="s">
        <v>275</v>
      </c>
      <c r="E83" s="271" t="e">
        <f>CONCATENATE(IF(a_text_anlart="Doppel","zwei Eingänge","Eingang")," für externe Störmeldung",IF(a_text_anlart="Doppel"," und Fernquittierung",))</f>
        <v>#N/A</v>
      </c>
      <c r="G83" s="277"/>
      <c r="H83" s="287"/>
    </row>
    <row r="84" spans="2:8">
      <c r="B84" s="277"/>
      <c r="C84" s="277"/>
      <c r="D84" s="288" t="s">
        <v>275</v>
      </c>
      <c r="E84" s="271" t="s">
        <v>509</v>
      </c>
      <c r="G84" s="277"/>
      <c r="H84" s="287"/>
    </row>
    <row r="85" spans="2:8">
      <c r="B85" s="277"/>
      <c r="C85" s="277"/>
      <c r="D85" s="288" t="s">
        <v>296</v>
      </c>
      <c r="E85" s="271" t="s">
        <v>510</v>
      </c>
      <c r="G85" s="277"/>
      <c r="H85" s="287"/>
    </row>
    <row r="86" spans="2:8">
      <c r="B86" s="277"/>
      <c r="C86" s="277"/>
      <c r="D86" s="288" t="s">
        <v>275</v>
      </c>
      <c r="E86" s="325" t="e">
        <f>CONCATENATE(IF(a_text_anlart="Einzel", "integrierter Alarmsummer","integrierter Alarmsummer") )</f>
        <v>#N/A</v>
      </c>
      <c r="G86" s="277"/>
      <c r="H86" s="287"/>
    </row>
    <row r="87" spans="2:8">
      <c r="B87" s="277"/>
      <c r="C87" s="277"/>
      <c r="D87" s="288" t="s">
        <v>275</v>
      </c>
      <c r="E87" s="271" t="e">
        <f>CONCATENATE(IF(a_text_anlart="Einzel", "akkugepufferter netzunabhängiger Alarm","akkugepufferter netzunabhängiger Alarm") )</f>
        <v>#N/A</v>
      </c>
      <c r="G87" s="277"/>
      <c r="H87" s="287"/>
    </row>
    <row r="88" spans="2:8">
      <c r="B88" s="277"/>
      <c r="C88" s="277"/>
      <c r="D88" s="288" t="s">
        <v>275</v>
      </c>
      <c r="E88" s="271" t="e">
        <f>IF(a_text_anlart="Einzel","einfache Behälterkodierung über DIL–Schalter bei erster","einfachaster Anlagenkonfiguration durch")</f>
        <v>#N/A</v>
      </c>
      <c r="G88" s="277"/>
      <c r="H88" s="287"/>
    </row>
    <row r="89" spans="2:8">
      <c r="B89" s="277"/>
      <c r="C89" s="277"/>
      <c r="D89" s="288"/>
      <c r="E89" s="271" t="e">
        <f>IF(a_text_anlart="Einzel","Inbetriebnahme", "Einstellungshilfe")</f>
        <v>#N/A</v>
      </c>
      <c r="G89" s="277"/>
      <c r="H89" s="287"/>
    </row>
    <row r="90" spans="2:8">
      <c r="B90" s="277"/>
      <c r="C90" s="277"/>
      <c r="D90" s="288" t="s">
        <v>275</v>
      </c>
      <c r="E90" s="271" t="e">
        <f>a_text_allg_02</f>
        <v>#N/A</v>
      </c>
      <c r="G90" s="277"/>
      <c r="H90" s="287"/>
    </row>
    <row r="91" spans="2:8">
      <c r="B91" s="277"/>
      <c r="C91" s="277"/>
      <c r="D91" s="288" t="e">
        <f t="shared" ref="D91:D96" si="0">IF(a_text_anlart="Einzel"," ","-")</f>
        <v>#N/A</v>
      </c>
      <c r="E91" s="271" t="e">
        <f>IF(a_text_anlart="Einzel"," ","(Ampel) und Navigationstasten")</f>
        <v>#N/A</v>
      </c>
      <c r="G91" s="277"/>
      <c r="H91" s="287"/>
    </row>
    <row r="92" spans="2:8">
      <c r="B92" s="277"/>
      <c r="C92" s="277"/>
      <c r="D92" s="288" t="e">
        <f t="shared" si="0"/>
        <v>#N/A</v>
      </c>
      <c r="E92" s="271" t="e">
        <f>IF(a_text_anlart="Einzel"," ","einfachste Grundbedingung durch Rootmenü und Quickmenü")</f>
        <v>#N/A</v>
      </c>
      <c r="G92" s="277"/>
      <c r="H92" s="287"/>
    </row>
    <row r="93" spans="2:8">
      <c r="B93" s="277"/>
      <c r="C93" s="277"/>
      <c r="D93" s="288" t="e">
        <f t="shared" si="0"/>
        <v>#N/A</v>
      </c>
      <c r="E93" s="271" t="e">
        <f>IF(a_text_anlart="Einzel"," ","Füllstandsanzeige")</f>
        <v>#N/A</v>
      </c>
      <c r="F93" s="278"/>
      <c r="G93" s="277"/>
      <c r="H93" s="287"/>
    </row>
    <row r="94" spans="2:8">
      <c r="B94" s="277"/>
      <c r="C94" s="277"/>
      <c r="D94" s="288" t="e">
        <f t="shared" si="0"/>
        <v>#N/A</v>
      </c>
      <c r="E94" s="271" t="e">
        <f>IF(a_text_anlart="Einzel"," ","Betriebsdatenanzeige")</f>
        <v>#N/A</v>
      </c>
      <c r="F94" s="278"/>
      <c r="G94" s="277"/>
      <c r="H94" s="287"/>
    </row>
    <row r="95" spans="2:8">
      <c r="B95" s="277"/>
      <c r="C95" s="277"/>
      <c r="D95" s="288" t="e">
        <f t="shared" si="0"/>
        <v>#N/A</v>
      </c>
      <c r="E95" s="271" t="e">
        <f>IF(a_text_anlart="Einzel"," ","parametrierbare Serviceintervalle")</f>
        <v>#N/A</v>
      </c>
      <c r="F95" s="278"/>
      <c r="G95" s="277"/>
      <c r="H95" s="287"/>
    </row>
    <row r="96" spans="2:8">
      <c r="B96" s="277"/>
      <c r="C96" s="277"/>
      <c r="D96" s="288" t="e">
        <f t="shared" si="0"/>
        <v>#N/A</v>
      </c>
      <c r="E96" s="271" t="e">
        <f>IF(a_text_anlart="Einzel"," ","Diagnose- und Meldefunktionen")</f>
        <v>#N/A</v>
      </c>
      <c r="F96" s="278"/>
      <c r="G96" s="277"/>
      <c r="H96" s="287"/>
    </row>
    <row r="97" spans="2:8">
      <c r="B97" s="277"/>
      <c r="C97" s="277"/>
      <c r="D97" s="288" t="e">
        <f>IF(a_text_anlart="Einzel"," ","-")</f>
        <v>#N/A</v>
      </c>
      <c r="E97" s="271" t="e">
        <f>IF(a_text_anlart="Einzel"," ","zahlreiche Zusatzfunktonen (wie z. B. Überwachung der")</f>
        <v>#N/A</v>
      </c>
      <c r="F97" s="278"/>
      <c r="G97" s="277"/>
      <c r="H97" s="287"/>
    </row>
    <row r="98" spans="2:8">
      <c r="B98" s="277"/>
      <c r="C98" s="277"/>
      <c r="E98" s="271" t="e">
        <f>IF(a_text_anlart="Einzel"," ","Versorgungsspannung,intelligente Anlagenüberwachung, u.v.m)")</f>
        <v>#N/A</v>
      </c>
      <c r="F98" s="278"/>
      <c r="G98" s="277"/>
      <c r="H98" s="287"/>
    </row>
    <row r="99" spans="2:8">
      <c r="B99" s="277"/>
      <c r="C99" s="277"/>
      <c r="F99" s="278"/>
      <c r="G99" s="277"/>
      <c r="H99" s="287"/>
    </row>
    <row r="100" spans="2:8">
      <c r="B100" s="277"/>
      <c r="C100" s="277"/>
      <c r="E100" s="271" t="e">
        <f>IF(a_text_anlart="Einzel"," ","")</f>
        <v>#N/A</v>
      </c>
      <c r="F100" s="278"/>
      <c r="G100" s="277"/>
      <c r="H100" s="287"/>
    </row>
    <row r="101" spans="2:8">
      <c r="B101" s="277"/>
      <c r="C101" s="277"/>
      <c r="F101" s="278"/>
      <c r="G101" s="277"/>
      <c r="H101" s="287"/>
    </row>
    <row r="102" spans="2:8">
      <c r="B102" s="277"/>
      <c r="C102" s="277"/>
      <c r="D102" s="271" t="s">
        <v>511</v>
      </c>
      <c r="F102" s="278" t="e">
        <f>CONCATENATE(qpumpe_bp," m³/h    ",ROUNDDOWN(qpumpe_bp/3.6,2)," l/s")</f>
        <v>#VALUE!</v>
      </c>
      <c r="G102" s="277"/>
      <c r="H102" s="287"/>
    </row>
    <row r="103" spans="2:8">
      <c r="B103" s="277"/>
      <c r="C103" s="277"/>
      <c r="D103" s="271" t="s">
        <v>512</v>
      </c>
      <c r="F103" s="278" t="str">
        <f>CONCATENATE(fhoehe," m")</f>
        <v>0 m</v>
      </c>
      <c r="G103" s="277"/>
      <c r="H103" s="287"/>
    </row>
    <row r="104" spans="2:8">
      <c r="B104" s="277"/>
      <c r="C104" s="277"/>
      <c r="D104" s="271" t="s">
        <v>513</v>
      </c>
      <c r="F104" s="278" t="s">
        <v>514</v>
      </c>
      <c r="G104" s="277"/>
      <c r="H104" s="287"/>
    </row>
    <row r="105" spans="2:8">
      <c r="B105" s="277"/>
      <c r="C105" s="277"/>
      <c r="D105" s="271" t="str">
        <f>CONCATENATE("Motorleistung ",anl_bez)</f>
        <v>Motorleistung !!!</v>
      </c>
      <c r="F105" s="278" t="e">
        <f>CONCATENATE("P1 ",FIXED(a_text_p1,2)," kW","   P2 ",FIXED(a_text_p2,2)," kW")</f>
        <v>#N/A</v>
      </c>
      <c r="G105" s="277"/>
      <c r="H105" s="287"/>
    </row>
    <row r="106" spans="2:8">
      <c r="B106" s="277"/>
      <c r="C106" s="277"/>
      <c r="D106" s="271" t="s">
        <v>515</v>
      </c>
      <c r="F106" s="278" t="s">
        <v>516</v>
      </c>
      <c r="G106" s="277"/>
      <c r="H106" s="287"/>
    </row>
    <row r="107" spans="2:8">
      <c r="B107" s="277"/>
      <c r="C107" s="277"/>
      <c r="D107" s="271" t="s">
        <v>517</v>
      </c>
      <c r="F107" s="278" t="e">
        <f>a_text_span_art</f>
        <v>#N/A</v>
      </c>
      <c r="G107" s="277"/>
      <c r="H107" s="287"/>
    </row>
    <row r="108" spans="2:8">
      <c r="B108" s="277"/>
      <c r="C108" s="277"/>
      <c r="D108" s="271" t="s">
        <v>518</v>
      </c>
      <c r="F108" s="278" t="s">
        <v>519</v>
      </c>
      <c r="G108" s="277"/>
      <c r="H108" s="287"/>
    </row>
    <row r="109" spans="2:8">
      <c r="B109" s="277"/>
      <c r="C109" s="277"/>
      <c r="D109" s="271" t="s">
        <v>520</v>
      </c>
      <c r="F109" s="278" t="s">
        <v>521</v>
      </c>
      <c r="G109" s="277"/>
      <c r="H109" s="287"/>
    </row>
    <row r="110" spans="2:8">
      <c r="B110" s="277"/>
      <c r="C110" s="277"/>
      <c r="D110" s="271" t="s">
        <v>522</v>
      </c>
      <c r="F110" s="278" t="e">
        <f>H3</f>
        <v>#VALUE!</v>
      </c>
      <c r="G110" s="277"/>
      <c r="H110" s="287"/>
    </row>
    <row r="111" spans="2:8">
      <c r="B111" s="277"/>
      <c r="C111" s="277"/>
      <c r="D111" s="271" t="s">
        <v>523</v>
      </c>
      <c r="F111" s="278"/>
      <c r="G111" s="277"/>
      <c r="H111" s="287"/>
    </row>
    <row r="112" spans="2:8">
      <c r="B112" s="277"/>
      <c r="C112" s="277"/>
      <c r="E112" s="289" t="s">
        <v>524</v>
      </c>
      <c r="F112" s="278" t="e">
        <f>a_text_netz_ansch</f>
        <v>#N/A</v>
      </c>
      <c r="G112" s="277"/>
      <c r="H112" s="287"/>
    </row>
    <row r="113" spans="2:8">
      <c r="B113" s="277"/>
      <c r="C113" s="277"/>
      <c r="E113" s="289" t="s">
        <v>525</v>
      </c>
      <c r="F113" s="278" t="s">
        <v>526</v>
      </c>
      <c r="G113" s="277"/>
      <c r="H113" s="287"/>
    </row>
    <row r="114" spans="2:8">
      <c r="B114" s="277"/>
      <c r="C114" s="277"/>
      <c r="D114" s="271" t="s">
        <v>527</v>
      </c>
      <c r="F114" s="278" t="e">
        <f>CONCATENATE(anl_bez," - ",a_text_gew," kg")</f>
        <v>#N/A</v>
      </c>
      <c r="G114" s="277"/>
      <c r="H114" s="287"/>
    </row>
    <row r="115" spans="2:8">
      <c r="B115" s="277"/>
      <c r="C115" s="277"/>
      <c r="G115" s="277"/>
      <c r="H115" s="287"/>
    </row>
    <row r="116" spans="2:8">
      <c r="B116" s="277"/>
      <c r="C116" s="277"/>
      <c r="G116" s="277"/>
      <c r="H116" s="287"/>
    </row>
    <row r="117" spans="2:8">
      <c r="B117" s="283"/>
      <c r="C117" s="283"/>
      <c r="D117" s="274"/>
      <c r="E117" s="274"/>
      <c r="F117" s="274"/>
      <c r="G117" s="284"/>
      <c r="H117" s="290"/>
    </row>
    <row r="118" spans="2:8">
      <c r="G118" s="331" t="str">
        <f>meldung_81</f>
        <v xml:space="preserve">Druckdatum: </v>
      </c>
      <c r="H118" s="332">
        <f ca="1">TODAY()</f>
        <v>44746</v>
      </c>
    </row>
  </sheetData>
  <sheetProtection algorithmName="SHA-512" hashValue="X2of9fHqLFtwCTZBOFPZfSSovEvQzq2TW7ht6M7YdaXo2Bf/7z1VCcySpMf5+tInZTTej5KCoG+0YzfD2RrcfA==" saltValue="5mt22z+CuZrnZR5tfnAWAA==" spinCount="100000" sheet="1" objects="1" scenarios="1" selectLockedCells="1" selectUnlockedCells="1"/>
  <mergeCells count="2">
    <mergeCell ref="D6:F6"/>
    <mergeCell ref="D69:F69"/>
  </mergeCells>
  <phoneticPr fontId="30" type="noConversion"/>
  <pageMargins left="0.78740157480314965" right="0.35433070866141736" top="0.59055118110236227" bottom="0.59055118110236227" header="0.51181102362204722" footer="0.51181102362204722"/>
  <pageSetup paperSize="9" fitToHeight="2" orientation="portrait" r:id="rId1"/>
  <headerFooter alignWithMargins="0"/>
  <rowBreaks count="2" manualBreakCount="2">
    <brk id="62" max="7" man="1"/>
    <brk id="118" max="16383" man="1"/>
  </rowBreaks>
  <customProperties>
    <customPr name="EpmWorksheetKeyString_GU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2:Q35"/>
  <sheetViews>
    <sheetView showGridLines="0" showRowColHeaders="0" showOutlineSymbols="0" workbookViewId="0">
      <selection activeCell="AI17" sqref="AI17"/>
    </sheetView>
  </sheetViews>
  <sheetFormatPr baseColWidth="10" defaultColWidth="6.85546875" defaultRowHeight="12.75"/>
  <cols>
    <col min="1" max="15" width="6.85546875" style="344" customWidth="1"/>
    <col min="16" max="16" width="9" style="344" bestFit="1" customWidth="1"/>
    <col min="17" max="17" width="9.5703125" style="344" bestFit="1" customWidth="1"/>
    <col min="18" max="16384" width="6.85546875" style="344"/>
  </cols>
  <sheetData>
    <row r="2" spans="1:17">
      <c r="A2" s="339" t="s">
        <v>62</v>
      </c>
      <c r="B2" s="340"/>
      <c r="C2" s="340"/>
      <c r="D2" s="340"/>
      <c r="E2" s="341">
        <f>dn</f>
        <v>80</v>
      </c>
      <c r="F2" s="340"/>
      <c r="G2" s="340"/>
      <c r="H2" s="340"/>
      <c r="I2" s="340"/>
      <c r="J2" s="342" t="s">
        <v>63</v>
      </c>
      <c r="K2" s="343">
        <f>Berechnung!D16</f>
        <v>6.7</v>
      </c>
      <c r="L2" s="340"/>
      <c r="M2" s="340"/>
      <c r="N2" s="340"/>
      <c r="O2" s="340"/>
      <c r="P2" s="340"/>
      <c r="Q2" s="340"/>
    </row>
    <row r="3" spans="1:17">
      <c r="A3" s="340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</row>
    <row r="4" spans="1:17">
      <c r="A4" s="340"/>
      <c r="B4" s="345"/>
      <c r="C4" s="346" t="s">
        <v>64</v>
      </c>
      <c r="D4" s="345">
        <v>0</v>
      </c>
      <c r="E4" s="345">
        <v>0.45</v>
      </c>
      <c r="F4" s="345">
        <v>0.7</v>
      </c>
      <c r="G4" s="345">
        <v>1</v>
      </c>
      <c r="H4" s="345">
        <v>1.5</v>
      </c>
      <c r="I4" s="345">
        <v>1.7</v>
      </c>
      <c r="J4" s="345">
        <v>1.9</v>
      </c>
      <c r="K4" s="345">
        <v>2.1</v>
      </c>
      <c r="L4" s="347">
        <v>2.2999999999999998</v>
      </c>
      <c r="M4" s="340"/>
      <c r="N4" s="340" t="s">
        <v>65</v>
      </c>
      <c r="O4" s="340"/>
      <c r="P4" s="340"/>
      <c r="Q4" s="340"/>
    </row>
    <row r="5" spans="1:17">
      <c r="A5" s="340"/>
      <c r="B5" s="348"/>
      <c r="C5" s="349" t="s">
        <v>66</v>
      </c>
      <c r="D5" s="350">
        <f t="shared" ref="D5:L5" si="0">($E$2/1000)^2*PI()*D4*3600/4</f>
        <v>0</v>
      </c>
      <c r="E5" s="350">
        <f t="shared" si="0"/>
        <v>8.1430081581047435</v>
      </c>
      <c r="F5" s="350">
        <f t="shared" si="0"/>
        <v>12.666901579274045</v>
      </c>
      <c r="G5" s="350">
        <f t="shared" si="0"/>
        <v>18.095573684677209</v>
      </c>
      <c r="H5" s="350">
        <f t="shared" si="0"/>
        <v>27.143360527015812</v>
      </c>
      <c r="I5" s="350">
        <f t="shared" si="0"/>
        <v>30.762475263951252</v>
      </c>
      <c r="J5" s="350">
        <f t="shared" si="0"/>
        <v>34.381590000886696</v>
      </c>
      <c r="K5" s="350">
        <f t="shared" si="0"/>
        <v>38.00070473782214</v>
      </c>
      <c r="L5" s="351">
        <f t="shared" si="0"/>
        <v>41.619819474757577</v>
      </c>
      <c r="M5" s="340"/>
      <c r="N5" s="341">
        <v>99</v>
      </c>
      <c r="O5" s="340" t="s">
        <v>67</v>
      </c>
      <c r="P5" s="340"/>
      <c r="Q5" s="340"/>
    </row>
    <row r="6" spans="1:17">
      <c r="A6" s="340"/>
      <c r="B6" s="940" t="s">
        <v>68</v>
      </c>
      <c r="C6" s="352">
        <v>2.5</v>
      </c>
      <c r="D6" s="353">
        <f t="shared" ref="D6:D15" si="1">$C6+(zeta_gesamt*$D$4^2/(2*9.81))</f>
        <v>2.5</v>
      </c>
      <c r="E6" s="353">
        <f t="shared" ref="E6:E15" si="2">$C6+(zeta_gesamt*$E$4^2/(2*9.81))</f>
        <v>2.569151376146789</v>
      </c>
      <c r="F6" s="353">
        <f t="shared" ref="F6:F15" si="3">$C6+(zeta_gesamt*$F$4^2/(2*9.81))</f>
        <v>2.6673292558613659</v>
      </c>
      <c r="G6" s="353">
        <f t="shared" ref="G6:G15" si="4">$C6+(zeta_gesamt*$G$4^2/(2*9.81))</f>
        <v>2.8414882772680938</v>
      </c>
      <c r="H6" s="353">
        <f t="shared" ref="H6:H15" si="5">$C6+(zeta_gesamt*$H$4^2/(2*9.81))</f>
        <v>3.2683486238532109</v>
      </c>
      <c r="I6" s="353">
        <f t="shared" ref="I6:I15" si="6">$C6+(zeta_gesamt*$I$4^2/(2*9.81))</f>
        <v>3.4869011213047907</v>
      </c>
      <c r="J6" s="353">
        <f t="shared" ref="J6:J15" si="7">$C6+(zeta_gesamt*$J$4^2/(2*9.81))</f>
        <v>3.7327726809378188</v>
      </c>
      <c r="K6" s="353">
        <f t="shared" ref="K6:K15" si="8">$C6+(zeta_gesamt*$K$4^2/(2*9.81))</f>
        <v>4.0059633027522938</v>
      </c>
      <c r="L6" s="354">
        <f t="shared" ref="L6:L15" si="9">$C6+(zeta_gesamt*$L$4^2/(2*9.81))</f>
        <v>4.3064729867482159</v>
      </c>
      <c r="M6" s="340"/>
      <c r="N6" s="355">
        <v>99</v>
      </c>
      <c r="O6" s="340" t="s">
        <v>69</v>
      </c>
      <c r="P6" s="340"/>
      <c r="Q6" s="340"/>
    </row>
    <row r="7" spans="1:17">
      <c r="A7" s="340"/>
      <c r="B7" s="940"/>
      <c r="C7" s="352">
        <v>6</v>
      </c>
      <c r="D7" s="353">
        <f t="shared" si="1"/>
        <v>6</v>
      </c>
      <c r="E7" s="353">
        <f t="shared" si="2"/>
        <v>6.069151376146789</v>
      </c>
      <c r="F7" s="353">
        <f t="shared" si="3"/>
        <v>6.1673292558613655</v>
      </c>
      <c r="G7" s="353">
        <f t="shared" si="4"/>
        <v>6.3414882772680938</v>
      </c>
      <c r="H7" s="353">
        <f t="shared" si="5"/>
        <v>6.7683486238532113</v>
      </c>
      <c r="I7" s="353">
        <f t="shared" si="6"/>
        <v>6.9869011213047907</v>
      </c>
      <c r="J7" s="353">
        <f t="shared" si="7"/>
        <v>7.2327726809378188</v>
      </c>
      <c r="K7" s="353">
        <f t="shared" si="8"/>
        <v>7.5059633027522938</v>
      </c>
      <c r="L7" s="354">
        <f t="shared" si="9"/>
        <v>7.8064729867482159</v>
      </c>
      <c r="M7" s="340"/>
      <c r="N7" s="340"/>
      <c r="O7" s="340"/>
      <c r="P7" s="340"/>
      <c r="Q7" s="340"/>
    </row>
    <row r="8" spans="1:17">
      <c r="A8" s="340"/>
      <c r="B8" s="940"/>
      <c r="C8" s="352">
        <v>9</v>
      </c>
      <c r="D8" s="353">
        <f t="shared" si="1"/>
        <v>9</v>
      </c>
      <c r="E8" s="353">
        <f t="shared" si="2"/>
        <v>9.0691513761467881</v>
      </c>
      <c r="F8" s="353">
        <f t="shared" si="3"/>
        <v>9.1673292558613664</v>
      </c>
      <c r="G8" s="353">
        <f t="shared" si="4"/>
        <v>9.3414882772680929</v>
      </c>
      <c r="H8" s="353">
        <f t="shared" si="5"/>
        <v>9.7683486238532105</v>
      </c>
      <c r="I8" s="353">
        <f t="shared" si="6"/>
        <v>9.9869011213047916</v>
      </c>
      <c r="J8" s="353">
        <f t="shared" si="7"/>
        <v>10.232772680937819</v>
      </c>
      <c r="K8" s="353">
        <f t="shared" si="8"/>
        <v>10.505963302752294</v>
      </c>
      <c r="L8" s="354">
        <f t="shared" si="9"/>
        <v>10.806472986748215</v>
      </c>
      <c r="M8" s="340"/>
      <c r="N8" s="340"/>
      <c r="O8" s="340"/>
      <c r="P8" s="340"/>
      <c r="Q8" s="340"/>
    </row>
    <row r="9" spans="1:17">
      <c r="A9" s="340"/>
      <c r="B9" s="940"/>
      <c r="C9" s="352">
        <v>12</v>
      </c>
      <c r="D9" s="353">
        <f t="shared" si="1"/>
        <v>12</v>
      </c>
      <c r="E9" s="353">
        <f t="shared" si="2"/>
        <v>12.069151376146788</v>
      </c>
      <c r="F9" s="353">
        <f t="shared" si="3"/>
        <v>12.167329255861366</v>
      </c>
      <c r="G9" s="353">
        <f t="shared" si="4"/>
        <v>12.341488277268093</v>
      </c>
      <c r="H9" s="353">
        <f t="shared" si="5"/>
        <v>12.76834862385321</v>
      </c>
      <c r="I9" s="353">
        <f t="shared" si="6"/>
        <v>12.986901121304792</v>
      </c>
      <c r="J9" s="353">
        <f t="shared" si="7"/>
        <v>13.232772680937819</v>
      </c>
      <c r="K9" s="353">
        <f t="shared" si="8"/>
        <v>13.505963302752294</v>
      </c>
      <c r="L9" s="354">
        <f t="shared" si="9"/>
        <v>13.806472986748215</v>
      </c>
      <c r="M9" s="340"/>
      <c r="N9" s="340"/>
      <c r="O9" s="340"/>
      <c r="P9" s="340"/>
      <c r="Q9" s="340"/>
    </row>
    <row r="10" spans="1:17">
      <c r="A10" s="340"/>
      <c r="B10" s="940"/>
      <c r="C10" s="352">
        <v>15</v>
      </c>
      <c r="D10" s="353">
        <f t="shared" si="1"/>
        <v>15</v>
      </c>
      <c r="E10" s="353">
        <f t="shared" si="2"/>
        <v>15.069151376146788</v>
      </c>
      <c r="F10" s="353">
        <f t="shared" si="3"/>
        <v>15.167329255861366</v>
      </c>
      <c r="G10" s="353">
        <f t="shared" si="4"/>
        <v>15.341488277268093</v>
      </c>
      <c r="H10" s="353">
        <f t="shared" si="5"/>
        <v>15.76834862385321</v>
      </c>
      <c r="I10" s="353">
        <f t="shared" si="6"/>
        <v>15.986901121304792</v>
      </c>
      <c r="J10" s="353">
        <f t="shared" si="7"/>
        <v>16.232772680937817</v>
      </c>
      <c r="K10" s="353">
        <f t="shared" si="8"/>
        <v>16.505963302752292</v>
      </c>
      <c r="L10" s="354">
        <f t="shared" si="9"/>
        <v>16.806472986748215</v>
      </c>
      <c r="M10" s="340"/>
      <c r="N10" s="340"/>
      <c r="O10" s="340"/>
      <c r="P10" s="340"/>
      <c r="Q10" s="340"/>
    </row>
    <row r="11" spans="1:17">
      <c r="A11" s="340"/>
      <c r="B11" s="940"/>
      <c r="C11" s="352">
        <v>18</v>
      </c>
      <c r="D11" s="353">
        <f t="shared" si="1"/>
        <v>18</v>
      </c>
      <c r="E11" s="353">
        <f t="shared" si="2"/>
        <v>18.069151376146788</v>
      </c>
      <c r="F11" s="353">
        <f t="shared" si="3"/>
        <v>18.167329255861365</v>
      </c>
      <c r="G11" s="353">
        <f t="shared" si="4"/>
        <v>18.341488277268095</v>
      </c>
      <c r="H11" s="353">
        <f t="shared" si="5"/>
        <v>18.76834862385321</v>
      </c>
      <c r="I11" s="353">
        <f t="shared" si="6"/>
        <v>18.98690112130479</v>
      </c>
      <c r="J11" s="353">
        <f t="shared" si="7"/>
        <v>19.232772680937817</v>
      </c>
      <c r="K11" s="353">
        <f t="shared" si="8"/>
        <v>19.505963302752292</v>
      </c>
      <c r="L11" s="354">
        <f t="shared" si="9"/>
        <v>19.806472986748215</v>
      </c>
      <c r="M11" s="340"/>
      <c r="N11" s="340"/>
      <c r="O11" s="340"/>
      <c r="P11" s="340"/>
      <c r="Q11" s="340"/>
    </row>
    <row r="12" spans="1:17">
      <c r="A12" s="340"/>
      <c r="B12" s="940"/>
      <c r="C12" s="352">
        <v>21</v>
      </c>
      <c r="D12" s="353">
        <f t="shared" si="1"/>
        <v>21</v>
      </c>
      <c r="E12" s="353">
        <f t="shared" si="2"/>
        <v>21.069151376146788</v>
      </c>
      <c r="F12" s="353">
        <f t="shared" si="3"/>
        <v>21.167329255861365</v>
      </c>
      <c r="G12" s="353">
        <f t="shared" si="4"/>
        <v>21.341488277268095</v>
      </c>
      <c r="H12" s="353">
        <f t="shared" si="5"/>
        <v>21.76834862385321</v>
      </c>
      <c r="I12" s="353">
        <f t="shared" si="6"/>
        <v>21.98690112130479</v>
      </c>
      <c r="J12" s="353">
        <f t="shared" si="7"/>
        <v>22.232772680937817</v>
      </c>
      <c r="K12" s="353">
        <f t="shared" si="8"/>
        <v>22.505963302752292</v>
      </c>
      <c r="L12" s="354">
        <f t="shared" si="9"/>
        <v>22.806472986748215</v>
      </c>
      <c r="M12" s="340"/>
      <c r="N12" s="340"/>
      <c r="O12" s="340"/>
      <c r="P12" s="340"/>
      <c r="Q12" s="340"/>
    </row>
    <row r="13" spans="1:17">
      <c r="A13" s="340"/>
      <c r="B13" s="940"/>
      <c r="C13" s="352">
        <v>24</v>
      </c>
      <c r="D13" s="353">
        <f t="shared" si="1"/>
        <v>24</v>
      </c>
      <c r="E13" s="353">
        <f t="shared" si="2"/>
        <v>24.069151376146788</v>
      </c>
      <c r="F13" s="353">
        <f t="shared" si="3"/>
        <v>24.167329255861365</v>
      </c>
      <c r="G13" s="353">
        <f t="shared" si="4"/>
        <v>24.341488277268095</v>
      </c>
      <c r="H13" s="353">
        <f t="shared" si="5"/>
        <v>24.76834862385321</v>
      </c>
      <c r="I13" s="353">
        <f t="shared" si="6"/>
        <v>24.98690112130479</v>
      </c>
      <c r="J13" s="353">
        <f t="shared" si="7"/>
        <v>25.232772680937817</v>
      </c>
      <c r="K13" s="353">
        <f t="shared" si="8"/>
        <v>25.505963302752292</v>
      </c>
      <c r="L13" s="354">
        <f t="shared" si="9"/>
        <v>25.806472986748215</v>
      </c>
      <c r="M13" s="340"/>
      <c r="N13" s="340"/>
      <c r="O13" s="340"/>
      <c r="P13" s="340"/>
      <c r="Q13" s="340"/>
    </row>
    <row r="14" spans="1:17" ht="13.5" thickBot="1">
      <c r="A14" s="340"/>
      <c r="B14" s="941"/>
      <c r="C14" s="356">
        <v>27</v>
      </c>
      <c r="D14" s="357">
        <f t="shared" si="1"/>
        <v>27</v>
      </c>
      <c r="E14" s="357">
        <f t="shared" si="2"/>
        <v>27.069151376146788</v>
      </c>
      <c r="F14" s="357">
        <f t="shared" si="3"/>
        <v>27.167329255861365</v>
      </c>
      <c r="G14" s="357">
        <f t="shared" si="4"/>
        <v>27.341488277268095</v>
      </c>
      <c r="H14" s="357">
        <f t="shared" si="5"/>
        <v>27.76834862385321</v>
      </c>
      <c r="I14" s="357">
        <f t="shared" si="6"/>
        <v>27.98690112130479</v>
      </c>
      <c r="J14" s="357">
        <f t="shared" si="7"/>
        <v>28.232772680937817</v>
      </c>
      <c r="K14" s="357">
        <f t="shared" si="8"/>
        <v>28.505963302752292</v>
      </c>
      <c r="L14" s="358">
        <f t="shared" si="9"/>
        <v>28.806472986748215</v>
      </c>
      <c r="M14" s="340"/>
      <c r="N14" s="340"/>
      <c r="O14" s="340"/>
      <c r="P14" s="340"/>
      <c r="Q14" s="340"/>
    </row>
    <row r="15" spans="1:17" ht="14.25" thickTop="1" thickBot="1">
      <c r="C15" s="359">
        <f>fh_geo</f>
        <v>0</v>
      </c>
      <c r="D15" s="360">
        <f t="shared" si="1"/>
        <v>0</v>
      </c>
      <c r="E15" s="360">
        <f t="shared" si="2"/>
        <v>6.9151376146788998E-2</v>
      </c>
      <c r="F15" s="360">
        <f t="shared" si="3"/>
        <v>0.16732925586136591</v>
      </c>
      <c r="G15" s="360">
        <f t="shared" si="4"/>
        <v>0.34148827726809378</v>
      </c>
      <c r="H15" s="360">
        <f t="shared" si="5"/>
        <v>0.76834862385321101</v>
      </c>
      <c r="I15" s="360">
        <f t="shared" si="6"/>
        <v>0.98690112130479091</v>
      </c>
      <c r="J15" s="360">
        <f t="shared" si="7"/>
        <v>1.2327726809378186</v>
      </c>
      <c r="K15" s="360">
        <f t="shared" si="8"/>
        <v>1.5059633027522936</v>
      </c>
      <c r="L15" s="360">
        <f t="shared" si="9"/>
        <v>1.8064729867482159</v>
      </c>
      <c r="M15" s="344" t="s">
        <v>57</v>
      </c>
    </row>
    <row r="16" spans="1:17" ht="13.5" thickTop="1">
      <c r="B16" s="361" t="s">
        <v>34</v>
      </c>
      <c r="C16" s="362">
        <v>50</v>
      </c>
      <c r="D16" s="362"/>
      <c r="E16" s="363">
        <v>50</v>
      </c>
      <c r="G16" s="363">
        <v>80</v>
      </c>
      <c r="H16" s="362"/>
      <c r="I16" s="363">
        <v>80</v>
      </c>
      <c r="K16" s="363">
        <v>100</v>
      </c>
      <c r="L16" s="362"/>
      <c r="M16" s="363">
        <v>100</v>
      </c>
      <c r="N16" s="362"/>
      <c r="O16" s="362"/>
      <c r="P16" s="344">
        <v>65</v>
      </c>
      <c r="Q16" s="344">
        <v>65</v>
      </c>
    </row>
    <row r="17" spans="1:17">
      <c r="B17" s="344" t="s">
        <v>70</v>
      </c>
      <c r="C17" s="363">
        <v>0.7</v>
      </c>
      <c r="D17" s="362"/>
      <c r="E17" s="363">
        <v>2.2999999999999998</v>
      </c>
      <c r="G17" s="363">
        <v>0.7</v>
      </c>
      <c r="H17" s="362"/>
      <c r="I17" s="363">
        <v>2.2999999999999998</v>
      </c>
      <c r="K17" s="363">
        <v>0.7</v>
      </c>
      <c r="L17" s="362"/>
      <c r="M17" s="363">
        <v>2.2999999999999998</v>
      </c>
      <c r="N17" s="362"/>
      <c r="O17" s="362"/>
      <c r="P17" s="363">
        <v>0.7</v>
      </c>
      <c r="Q17" s="363">
        <v>2.2999999999999998</v>
      </c>
    </row>
    <row r="18" spans="1:17" s="364" customFormat="1" ht="11.25">
      <c r="C18" s="365" t="s">
        <v>117</v>
      </c>
      <c r="E18" s="365" t="s">
        <v>118</v>
      </c>
      <c r="G18" s="365" t="s">
        <v>119</v>
      </c>
      <c r="I18" s="365" t="s">
        <v>120</v>
      </c>
      <c r="K18" s="365" t="s">
        <v>121</v>
      </c>
      <c r="M18" s="365" t="s">
        <v>122</v>
      </c>
      <c r="O18" s="364" t="s">
        <v>54</v>
      </c>
      <c r="P18" s="365" t="s">
        <v>115</v>
      </c>
      <c r="Q18" s="365" t="s">
        <v>116</v>
      </c>
    </row>
    <row r="19" spans="1:17">
      <c r="C19" s="366">
        <f>C16^2*PI()/4/10000*vminds*36</f>
        <v>4.9480084294039237</v>
      </c>
      <c r="D19" s="366"/>
      <c r="E19" s="366">
        <f>E16^2*PI()/4/10000*vmaxds*36</f>
        <v>16.257741982327179</v>
      </c>
      <c r="G19" s="366">
        <f>G16^2*PI()/4/10000*vminds*36</f>
        <v>12.666901579274045</v>
      </c>
      <c r="H19" s="366"/>
      <c r="I19" s="366">
        <f>I16^2*PI()/4/10000*vmaxds*36</f>
        <v>41.619819474757577</v>
      </c>
      <c r="K19" s="366">
        <f>K16^2*PI()/4/10000*vminds*36</f>
        <v>19.792033717615695</v>
      </c>
      <c r="L19" s="366"/>
      <c r="M19" s="366">
        <f>M16^2*PI()/4/10000*vmaxds*36</f>
        <v>65.030967929308716</v>
      </c>
      <c r="N19" s="366"/>
      <c r="O19" s="366">
        <v>0</v>
      </c>
      <c r="P19" s="366">
        <f>P16^2*PI()/4/10000*vminds*36</f>
        <v>8.3621342456926318</v>
      </c>
      <c r="Q19" s="366">
        <f>P16^2*PI()/4/10000*vmaxds*36</f>
        <v>27.475583950132929</v>
      </c>
    </row>
    <row r="20" spans="1:17">
      <c r="C20" s="366">
        <f>C19</f>
        <v>4.9480084294039237</v>
      </c>
      <c r="E20" s="366">
        <f>E19</f>
        <v>16.257741982327179</v>
      </c>
      <c r="G20" s="366">
        <f>G19</f>
        <v>12.666901579274045</v>
      </c>
      <c r="I20" s="366">
        <f>I19</f>
        <v>41.619819474757577</v>
      </c>
      <c r="K20" s="366">
        <f>K19</f>
        <v>19.792033717615695</v>
      </c>
      <c r="M20" s="366">
        <f>M19</f>
        <v>65.030967929308716</v>
      </c>
      <c r="O20" s="366" t="e">
        <f>MAX(kalk!$Q$5:$Q$13)</f>
        <v>#VALUE!</v>
      </c>
      <c r="P20" s="366">
        <f>P19</f>
        <v>8.3621342456926318</v>
      </c>
      <c r="Q20" s="366">
        <f>Q19</f>
        <v>27.475583950132929</v>
      </c>
    </row>
    <row r="23" spans="1:17">
      <c r="A23" s="339" t="s">
        <v>62</v>
      </c>
      <c r="B23" s="340"/>
      <c r="C23" s="340"/>
      <c r="D23" s="340"/>
      <c r="E23" s="341">
        <v>50</v>
      </c>
      <c r="F23" s="340"/>
      <c r="G23" s="340"/>
      <c r="H23" s="340"/>
      <c r="I23" s="340"/>
      <c r="J23" s="342" t="s">
        <v>63</v>
      </c>
      <c r="K23" s="341">
        <v>6.7</v>
      </c>
      <c r="L23" s="340"/>
      <c r="M23" s="340"/>
      <c r="N23" s="340"/>
      <c r="O23" s="340"/>
      <c r="P23" s="340"/>
      <c r="Q23" s="340"/>
    </row>
    <row r="24" spans="1:17">
      <c r="A24" s="340"/>
      <c r="B24" s="340"/>
      <c r="C24" s="340"/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0"/>
    </row>
    <row r="25" spans="1:17">
      <c r="A25" s="340"/>
      <c r="B25" s="345"/>
      <c r="C25" s="346" t="s">
        <v>64</v>
      </c>
      <c r="D25" s="345">
        <v>0</v>
      </c>
      <c r="E25" s="345">
        <v>0.5</v>
      </c>
      <c r="F25" s="345">
        <v>0.7</v>
      </c>
      <c r="G25" s="345">
        <v>1</v>
      </c>
      <c r="H25" s="345">
        <v>1.5</v>
      </c>
      <c r="I25" s="345">
        <v>1.7</v>
      </c>
      <c r="J25" s="345">
        <v>1.9</v>
      </c>
      <c r="K25" s="345">
        <v>2.1</v>
      </c>
      <c r="L25" s="347">
        <v>2.2999999999999998</v>
      </c>
      <c r="M25" s="340"/>
      <c r="N25" s="340" t="s">
        <v>65</v>
      </c>
      <c r="O25" s="340"/>
      <c r="P25" s="340"/>
      <c r="Q25" s="340"/>
    </row>
    <row r="26" spans="1:17">
      <c r="A26" s="340"/>
      <c r="B26" s="348"/>
      <c r="C26" s="349" t="s">
        <v>66</v>
      </c>
      <c r="D26" s="350">
        <f t="shared" ref="D26:L26" si="10">($E$23/1000)^2*PI()*D25*3600/4</f>
        <v>0</v>
      </c>
      <c r="E26" s="350">
        <f t="shared" si="10"/>
        <v>3.5342917352885177</v>
      </c>
      <c r="F26" s="350">
        <f t="shared" si="10"/>
        <v>4.9480084294039237</v>
      </c>
      <c r="G26" s="350">
        <f t="shared" si="10"/>
        <v>7.0685834705770354</v>
      </c>
      <c r="H26" s="350">
        <f t="shared" si="10"/>
        <v>10.602875205865553</v>
      </c>
      <c r="I26" s="350">
        <f t="shared" si="10"/>
        <v>12.016591899980959</v>
      </c>
      <c r="J26" s="350">
        <f t="shared" si="10"/>
        <v>13.430308594096365</v>
      </c>
      <c r="K26" s="350">
        <f t="shared" si="10"/>
        <v>14.844025288211773</v>
      </c>
      <c r="L26" s="351">
        <f t="shared" si="10"/>
        <v>16.257741982327179</v>
      </c>
      <c r="M26" s="340"/>
      <c r="N26" s="341">
        <v>99</v>
      </c>
      <c r="O26" s="340" t="s">
        <v>67</v>
      </c>
      <c r="P26" s="340"/>
      <c r="Q26" s="340"/>
    </row>
    <row r="27" spans="1:17">
      <c r="A27" s="340"/>
      <c r="B27" s="940" t="s">
        <v>68</v>
      </c>
      <c r="C27" s="352">
        <v>3</v>
      </c>
      <c r="D27" s="353">
        <f t="shared" ref="D27:D35" si="11">$C27+($K$23*$D$25^2/(2*9.81))</f>
        <v>3</v>
      </c>
      <c r="E27" s="353">
        <f t="shared" ref="E27:E35" si="12">$C27+($K$23*$E$25^2/(2*9.81))</f>
        <v>3.0853720693170232</v>
      </c>
      <c r="F27" s="353">
        <f t="shared" ref="F27:F35" si="13">$C27+($K$23*$F$25^2/(2*9.81))</f>
        <v>3.1673292558613659</v>
      </c>
      <c r="G27" s="353">
        <f t="shared" ref="G27:G35" si="14">$C27+($K$23*$G$25^2/(2*9.81))</f>
        <v>3.3414882772680938</v>
      </c>
      <c r="H27" s="353">
        <f t="shared" ref="H27:H35" si="15">$C27+($K$23*$H$25^2/(2*9.81))</f>
        <v>3.7683486238532109</v>
      </c>
      <c r="I27" s="353">
        <f t="shared" ref="I27:I35" si="16">$C27+($K$23*$I$25^2/(2*9.81))</f>
        <v>3.9869011213047907</v>
      </c>
      <c r="J27" s="353">
        <f t="shared" ref="J27:J35" si="17">$C27+($K$23*$J$25^2/(2*9.81))</f>
        <v>4.2327726809378188</v>
      </c>
      <c r="K27" s="353">
        <f t="shared" ref="K27:K35" si="18">$C27+($K$23*$K$25^2/(2*9.81))</f>
        <v>4.5059633027522938</v>
      </c>
      <c r="L27" s="354">
        <f t="shared" ref="L27:L35" si="19">$C27+($K$23*$L$25^2/(2*9.81))</f>
        <v>4.8064729867482159</v>
      </c>
      <c r="M27" s="340"/>
      <c r="N27" s="355">
        <v>99</v>
      </c>
      <c r="O27" s="340" t="s">
        <v>69</v>
      </c>
      <c r="P27" s="340"/>
      <c r="Q27" s="340"/>
    </row>
    <row r="28" spans="1:17">
      <c r="A28" s="340"/>
      <c r="B28" s="940"/>
      <c r="C28" s="352">
        <v>6</v>
      </c>
      <c r="D28" s="353">
        <f t="shared" si="11"/>
        <v>6</v>
      </c>
      <c r="E28" s="353">
        <f t="shared" si="12"/>
        <v>6.0853720693170237</v>
      </c>
      <c r="F28" s="353">
        <f t="shared" si="13"/>
        <v>6.1673292558613655</v>
      </c>
      <c r="G28" s="353">
        <f t="shared" si="14"/>
        <v>6.3414882772680938</v>
      </c>
      <c r="H28" s="353">
        <f t="shared" si="15"/>
        <v>6.7683486238532113</v>
      </c>
      <c r="I28" s="353">
        <f t="shared" si="16"/>
        <v>6.9869011213047907</v>
      </c>
      <c r="J28" s="353">
        <f t="shared" si="17"/>
        <v>7.2327726809378188</v>
      </c>
      <c r="K28" s="353">
        <f t="shared" si="18"/>
        <v>7.5059633027522938</v>
      </c>
      <c r="L28" s="354">
        <f t="shared" si="19"/>
        <v>7.8064729867482159</v>
      </c>
      <c r="M28" s="340"/>
      <c r="N28" s="340"/>
      <c r="O28" s="340"/>
      <c r="P28" s="340"/>
      <c r="Q28" s="340"/>
    </row>
    <row r="29" spans="1:17">
      <c r="A29" s="340"/>
      <c r="B29" s="940"/>
      <c r="C29" s="352">
        <v>9</v>
      </c>
      <c r="D29" s="353">
        <f t="shared" si="11"/>
        <v>9</v>
      </c>
      <c r="E29" s="353">
        <f t="shared" si="12"/>
        <v>9.0853720693170228</v>
      </c>
      <c r="F29" s="353">
        <f t="shared" si="13"/>
        <v>9.1673292558613664</v>
      </c>
      <c r="G29" s="353">
        <f t="shared" si="14"/>
        <v>9.3414882772680929</v>
      </c>
      <c r="H29" s="353">
        <f t="shared" si="15"/>
        <v>9.7683486238532105</v>
      </c>
      <c r="I29" s="353">
        <f t="shared" si="16"/>
        <v>9.9869011213047916</v>
      </c>
      <c r="J29" s="353">
        <f t="shared" si="17"/>
        <v>10.232772680937819</v>
      </c>
      <c r="K29" s="353">
        <f t="shared" si="18"/>
        <v>10.505963302752294</v>
      </c>
      <c r="L29" s="354">
        <f t="shared" si="19"/>
        <v>10.806472986748215</v>
      </c>
      <c r="M29" s="340"/>
      <c r="N29" s="340"/>
      <c r="O29" s="340"/>
      <c r="P29" s="340"/>
      <c r="Q29" s="340"/>
    </row>
    <row r="30" spans="1:17">
      <c r="A30" s="340"/>
      <c r="B30" s="940"/>
      <c r="C30" s="352">
        <v>12</v>
      </c>
      <c r="D30" s="353">
        <f t="shared" si="11"/>
        <v>12</v>
      </c>
      <c r="E30" s="353">
        <f t="shared" si="12"/>
        <v>12.085372069317023</v>
      </c>
      <c r="F30" s="353">
        <f t="shared" si="13"/>
        <v>12.167329255861366</v>
      </c>
      <c r="G30" s="353">
        <f t="shared" si="14"/>
        <v>12.341488277268093</v>
      </c>
      <c r="H30" s="353">
        <f t="shared" si="15"/>
        <v>12.76834862385321</v>
      </c>
      <c r="I30" s="353">
        <f t="shared" si="16"/>
        <v>12.986901121304792</v>
      </c>
      <c r="J30" s="353">
        <f t="shared" si="17"/>
        <v>13.232772680937819</v>
      </c>
      <c r="K30" s="353">
        <f t="shared" si="18"/>
        <v>13.505963302752294</v>
      </c>
      <c r="L30" s="354">
        <f t="shared" si="19"/>
        <v>13.806472986748215</v>
      </c>
      <c r="M30" s="340"/>
      <c r="N30" s="340"/>
      <c r="O30" s="340"/>
      <c r="P30" s="340"/>
      <c r="Q30" s="340"/>
    </row>
    <row r="31" spans="1:17">
      <c r="A31" s="340"/>
      <c r="B31" s="940"/>
      <c r="C31" s="352">
        <v>15</v>
      </c>
      <c r="D31" s="353">
        <f t="shared" si="11"/>
        <v>15</v>
      </c>
      <c r="E31" s="353">
        <f t="shared" si="12"/>
        <v>15.085372069317023</v>
      </c>
      <c r="F31" s="353">
        <f t="shared" si="13"/>
        <v>15.167329255861366</v>
      </c>
      <c r="G31" s="353">
        <f t="shared" si="14"/>
        <v>15.341488277268093</v>
      </c>
      <c r="H31" s="353">
        <f t="shared" si="15"/>
        <v>15.76834862385321</v>
      </c>
      <c r="I31" s="353">
        <f t="shared" si="16"/>
        <v>15.986901121304792</v>
      </c>
      <c r="J31" s="353">
        <f t="shared" si="17"/>
        <v>16.232772680937817</v>
      </c>
      <c r="K31" s="353">
        <f t="shared" si="18"/>
        <v>16.505963302752292</v>
      </c>
      <c r="L31" s="354">
        <f t="shared" si="19"/>
        <v>16.806472986748215</v>
      </c>
      <c r="M31" s="340"/>
      <c r="N31" s="340"/>
      <c r="O31" s="340"/>
      <c r="P31" s="340"/>
      <c r="Q31" s="340"/>
    </row>
    <row r="32" spans="1:17">
      <c r="A32" s="340"/>
      <c r="B32" s="940"/>
      <c r="C32" s="352">
        <v>18</v>
      </c>
      <c r="D32" s="353">
        <f t="shared" si="11"/>
        <v>18</v>
      </c>
      <c r="E32" s="353">
        <f t="shared" si="12"/>
        <v>18.085372069317025</v>
      </c>
      <c r="F32" s="353">
        <f t="shared" si="13"/>
        <v>18.167329255861365</v>
      </c>
      <c r="G32" s="353">
        <f t="shared" si="14"/>
        <v>18.341488277268095</v>
      </c>
      <c r="H32" s="353">
        <f t="shared" si="15"/>
        <v>18.76834862385321</v>
      </c>
      <c r="I32" s="353">
        <f t="shared" si="16"/>
        <v>18.98690112130479</v>
      </c>
      <c r="J32" s="353">
        <f t="shared" si="17"/>
        <v>19.232772680937817</v>
      </c>
      <c r="K32" s="353">
        <f t="shared" si="18"/>
        <v>19.505963302752292</v>
      </c>
      <c r="L32" s="354">
        <f t="shared" si="19"/>
        <v>19.806472986748215</v>
      </c>
      <c r="M32" s="340"/>
      <c r="N32" s="340"/>
      <c r="O32" s="340"/>
      <c r="P32" s="340"/>
      <c r="Q32" s="340"/>
    </row>
    <row r="33" spans="1:17">
      <c r="A33" s="340"/>
      <c r="B33" s="940"/>
      <c r="C33" s="352">
        <v>21</v>
      </c>
      <c r="D33" s="353">
        <f t="shared" si="11"/>
        <v>21</v>
      </c>
      <c r="E33" s="353">
        <f t="shared" si="12"/>
        <v>21.085372069317025</v>
      </c>
      <c r="F33" s="353">
        <f t="shared" si="13"/>
        <v>21.167329255861365</v>
      </c>
      <c r="G33" s="353">
        <f t="shared" si="14"/>
        <v>21.341488277268095</v>
      </c>
      <c r="H33" s="353">
        <f t="shared" si="15"/>
        <v>21.76834862385321</v>
      </c>
      <c r="I33" s="353">
        <f t="shared" si="16"/>
        <v>21.98690112130479</v>
      </c>
      <c r="J33" s="353">
        <f t="shared" si="17"/>
        <v>22.232772680937817</v>
      </c>
      <c r="K33" s="353">
        <f t="shared" si="18"/>
        <v>22.505963302752292</v>
      </c>
      <c r="L33" s="354">
        <f t="shared" si="19"/>
        <v>22.806472986748215</v>
      </c>
      <c r="M33" s="340"/>
      <c r="N33" s="340"/>
      <c r="O33" s="340"/>
      <c r="P33" s="340"/>
      <c r="Q33" s="340"/>
    </row>
    <row r="34" spans="1:17">
      <c r="A34" s="340"/>
      <c r="B34" s="940"/>
      <c r="C34" s="352">
        <v>24</v>
      </c>
      <c r="D34" s="353">
        <f t="shared" si="11"/>
        <v>24</v>
      </c>
      <c r="E34" s="353">
        <f t="shared" si="12"/>
        <v>24.085372069317025</v>
      </c>
      <c r="F34" s="353">
        <f t="shared" si="13"/>
        <v>24.167329255861365</v>
      </c>
      <c r="G34" s="353">
        <f t="shared" si="14"/>
        <v>24.341488277268095</v>
      </c>
      <c r="H34" s="353">
        <f t="shared" si="15"/>
        <v>24.76834862385321</v>
      </c>
      <c r="I34" s="353">
        <f t="shared" si="16"/>
        <v>24.98690112130479</v>
      </c>
      <c r="J34" s="353">
        <f t="shared" si="17"/>
        <v>25.232772680937817</v>
      </c>
      <c r="K34" s="353">
        <f t="shared" si="18"/>
        <v>25.505963302752292</v>
      </c>
      <c r="L34" s="354">
        <f t="shared" si="19"/>
        <v>25.806472986748215</v>
      </c>
      <c r="M34" s="340"/>
      <c r="N34" s="340"/>
      <c r="O34" s="340"/>
      <c r="P34" s="340"/>
      <c r="Q34" s="340"/>
    </row>
    <row r="35" spans="1:17">
      <c r="A35" s="340"/>
      <c r="B35" s="941"/>
      <c r="C35" s="356">
        <v>27</v>
      </c>
      <c r="D35" s="357">
        <f t="shared" si="11"/>
        <v>27</v>
      </c>
      <c r="E35" s="357">
        <f t="shared" si="12"/>
        <v>27.085372069317025</v>
      </c>
      <c r="F35" s="357">
        <f t="shared" si="13"/>
        <v>27.167329255861365</v>
      </c>
      <c r="G35" s="357">
        <f t="shared" si="14"/>
        <v>27.341488277268095</v>
      </c>
      <c r="H35" s="357">
        <f t="shared" si="15"/>
        <v>27.76834862385321</v>
      </c>
      <c r="I35" s="357">
        <f t="shared" si="16"/>
        <v>27.98690112130479</v>
      </c>
      <c r="J35" s="357">
        <f t="shared" si="17"/>
        <v>28.232772680937817</v>
      </c>
      <c r="K35" s="357">
        <f t="shared" si="18"/>
        <v>28.505963302752292</v>
      </c>
      <c r="L35" s="358">
        <f t="shared" si="19"/>
        <v>28.806472986748215</v>
      </c>
      <c r="M35" s="340"/>
      <c r="N35" s="340"/>
      <c r="O35" s="340"/>
      <c r="P35" s="340"/>
      <c r="Q35" s="340"/>
    </row>
  </sheetData>
  <sheetProtection algorithmName="SHA-512" hashValue="NedIor30mvTQdrLftnmrC2R1KhykNQypgu3+5D3EaOBUbYziHI9gLh9EQecja8LE7aCmJrs05XiGd5h8qCqW5g==" saltValue="kSIHYsTTvNoXWv33dybdyA==" spinCount="100000" sheet="1" objects="1" scenarios="1" selectLockedCells="1" selectUnlockedCells="1"/>
  <mergeCells count="2">
    <mergeCell ref="B6:B14"/>
    <mergeCell ref="B27:B35"/>
  </mergeCells>
  <phoneticPr fontId="3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ustomProperties>
    <customPr name="EpmWorksheetKeyString_GUID" r:id="rId2"/>
  </customProperties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pageSetUpPr fitToPage="1"/>
  </sheetPr>
  <dimension ref="A1:DV219"/>
  <sheetViews>
    <sheetView showGridLines="0" showRowColHeaders="0" showOutlineSymbols="0" zoomScale="85" zoomScaleNormal="85" workbookViewId="0"/>
  </sheetViews>
  <sheetFormatPr baseColWidth="10" defaultColWidth="18.85546875" defaultRowHeight="12"/>
  <cols>
    <col min="1" max="1" width="15" style="400" customWidth="1"/>
    <col min="2" max="2" width="15.140625" style="400" bestFit="1" customWidth="1"/>
    <col min="3" max="3" width="73.85546875" style="400" bestFit="1" customWidth="1"/>
    <col min="4" max="4" width="14.5703125" style="400" bestFit="1" customWidth="1"/>
    <col min="5" max="5" width="14.28515625" style="400" bestFit="1" customWidth="1"/>
    <col min="6" max="6" width="16.140625" style="400" bestFit="1" customWidth="1"/>
    <col min="7" max="7" width="12.85546875" style="400" customWidth="1"/>
    <col min="8" max="8" width="17.42578125" style="400" bestFit="1" customWidth="1"/>
    <col min="9" max="9" width="12.85546875" style="400" bestFit="1" customWidth="1"/>
    <col min="10" max="10" width="9.42578125" style="400" bestFit="1" customWidth="1"/>
    <col min="11" max="11" width="19" style="400" customWidth="1"/>
    <col min="12" max="12" width="15.28515625" style="400" bestFit="1" customWidth="1"/>
    <col min="13" max="14" width="4.140625" style="400" customWidth="1"/>
    <col min="15" max="15" width="19.28515625" style="400" bestFit="1" customWidth="1"/>
    <col min="16" max="16" width="4.140625" style="400" customWidth="1"/>
    <col min="17" max="18" width="14.5703125" style="400" customWidth="1"/>
    <col min="19" max="19" width="15.28515625" style="400" customWidth="1"/>
    <col min="20" max="21" width="5.7109375" style="400" customWidth="1"/>
    <col min="22" max="22" width="6.5703125" style="400" customWidth="1"/>
    <col min="23" max="23" width="6.7109375" style="400" customWidth="1"/>
    <col min="24" max="36" width="18.85546875" style="400" customWidth="1"/>
    <col min="37" max="37" width="29.28515625" style="400" bestFit="1" customWidth="1"/>
    <col min="38" max="38" width="30" style="400" bestFit="1" customWidth="1"/>
    <col min="39" max="39" width="16.140625" style="400" bestFit="1" customWidth="1"/>
    <col min="40" max="40" width="10.85546875" style="400" bestFit="1" customWidth="1"/>
    <col min="41" max="41" width="8.5703125" style="400" bestFit="1" customWidth="1"/>
    <col min="42" max="42" width="11" style="400" bestFit="1" customWidth="1"/>
    <col min="43" max="43" width="9.85546875" style="400" bestFit="1" customWidth="1"/>
    <col min="44" max="44" width="14.42578125" style="400" bestFit="1" customWidth="1"/>
    <col min="45" max="45" width="10.85546875" style="400" bestFit="1" customWidth="1"/>
    <col min="46" max="46" width="12.42578125" style="400" bestFit="1" customWidth="1"/>
    <col min="47" max="47" width="11" style="400" bestFit="1" customWidth="1"/>
    <col min="48" max="48" width="11.28515625" style="400" bestFit="1" customWidth="1"/>
    <col min="49" max="49" width="9.5703125" style="400" bestFit="1" customWidth="1"/>
    <col min="50" max="50" width="10.28515625" style="400" customWidth="1"/>
    <col min="51" max="51" width="10.140625" style="400" customWidth="1"/>
    <col min="52" max="52" width="12.5703125" style="400" bestFit="1" customWidth="1"/>
    <col min="53" max="53" width="15.7109375" style="400" customWidth="1"/>
    <col min="54" max="54" width="18" style="400" bestFit="1" customWidth="1"/>
    <col min="55" max="16384" width="18.85546875" style="400"/>
  </cols>
  <sheetData>
    <row r="1" spans="1:124" ht="14.25">
      <c r="A1" s="398"/>
      <c r="B1" s="399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2"/>
      <c r="X1" s="402"/>
      <c r="Y1" s="402"/>
      <c r="Z1" s="403"/>
      <c r="AA1" s="404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401"/>
      <c r="CM1" s="401"/>
      <c r="CN1" s="401"/>
      <c r="CO1" s="401"/>
      <c r="CP1" s="401"/>
      <c r="CQ1" s="401"/>
      <c r="CR1" s="401"/>
      <c r="CS1" s="401"/>
      <c r="CT1" s="401"/>
      <c r="CU1" s="401"/>
      <c r="CV1" s="401"/>
      <c r="CW1" s="401"/>
      <c r="CX1" s="401"/>
      <c r="CY1" s="401"/>
      <c r="CZ1" s="401"/>
      <c r="DA1" s="401"/>
      <c r="DB1" s="401"/>
      <c r="DC1" s="401"/>
      <c r="DD1" s="401"/>
      <c r="DE1" s="401"/>
      <c r="DF1" s="401"/>
      <c r="DG1" s="401"/>
      <c r="DH1" s="401"/>
      <c r="DI1" s="401"/>
      <c r="DJ1" s="401"/>
      <c r="DK1" s="401"/>
      <c r="DL1" s="401"/>
      <c r="DM1" s="401"/>
      <c r="DN1" s="401"/>
      <c r="DO1" s="401"/>
      <c r="DP1" s="401"/>
      <c r="DQ1" s="401"/>
      <c r="DR1" s="401"/>
      <c r="DS1" s="401"/>
      <c r="DT1" s="401"/>
    </row>
    <row r="2" spans="1:124" ht="15">
      <c r="A2" s="523" t="s">
        <v>0</v>
      </c>
      <c r="B2" s="524"/>
      <c r="C2" s="525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2"/>
      <c r="X2" s="526"/>
      <c r="Y2" s="526"/>
      <c r="Z2" s="403"/>
      <c r="AA2" s="404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1"/>
      <c r="AS2" s="401"/>
      <c r="AT2" s="401"/>
      <c r="AU2" s="401"/>
      <c r="AV2" s="401"/>
      <c r="AW2" s="401"/>
      <c r="AX2" s="401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401"/>
      <c r="CN2" s="401"/>
      <c r="CO2" s="401"/>
      <c r="CP2" s="401"/>
      <c r="CQ2" s="401"/>
      <c r="CR2" s="401"/>
      <c r="CS2" s="401"/>
      <c r="CT2" s="401"/>
      <c r="CU2" s="401"/>
      <c r="CV2" s="401"/>
      <c r="CW2" s="401"/>
      <c r="CX2" s="401"/>
      <c r="CY2" s="401"/>
      <c r="CZ2" s="401"/>
      <c r="DA2" s="401"/>
      <c r="DB2" s="401"/>
      <c r="DC2" s="401"/>
      <c r="DD2" s="401"/>
      <c r="DE2" s="401"/>
      <c r="DF2" s="401"/>
      <c r="DG2" s="401"/>
      <c r="DH2" s="401"/>
      <c r="DI2" s="401"/>
      <c r="DJ2" s="401"/>
      <c r="DK2" s="401"/>
      <c r="DL2" s="401"/>
      <c r="DM2" s="401"/>
      <c r="DN2" s="401"/>
      <c r="DO2" s="401"/>
      <c r="DP2" s="401"/>
      <c r="DQ2" s="401"/>
      <c r="DR2" s="401"/>
      <c r="DS2" s="401"/>
      <c r="DT2" s="401"/>
    </row>
    <row r="3" spans="1:124" ht="15.75" thickBot="1">
      <c r="A3" s="401"/>
      <c r="B3" s="527">
        <v>44985</v>
      </c>
      <c r="C3" s="528">
        <f ca="1">IF(TODAY()&gt;B3,"Laufzeit überschritten",)</f>
        <v>0</v>
      </c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2"/>
      <c r="X3" s="402"/>
      <c r="Y3" s="402"/>
      <c r="Z3" s="403"/>
      <c r="AA3" s="404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  <c r="BE3" s="401"/>
      <c r="BF3" s="401"/>
      <c r="BG3" s="401"/>
      <c r="BH3" s="401"/>
      <c r="BI3" s="401"/>
      <c r="BJ3" s="401"/>
      <c r="BK3" s="401"/>
      <c r="BL3" s="401"/>
      <c r="BM3" s="401"/>
      <c r="BN3" s="401"/>
      <c r="BO3" s="401"/>
      <c r="BP3" s="401"/>
      <c r="BQ3" s="401"/>
      <c r="BR3" s="401"/>
      <c r="BS3" s="401"/>
      <c r="BT3" s="401"/>
      <c r="BU3" s="401"/>
      <c r="BV3" s="401"/>
      <c r="BW3" s="401"/>
      <c r="BX3" s="401"/>
      <c r="BY3" s="401"/>
      <c r="BZ3" s="401"/>
      <c r="CA3" s="401"/>
      <c r="CB3" s="401"/>
      <c r="CC3" s="401"/>
      <c r="CD3" s="401"/>
      <c r="CE3" s="401"/>
      <c r="CF3" s="401"/>
      <c r="CG3" s="401"/>
      <c r="CH3" s="401"/>
      <c r="CI3" s="401"/>
      <c r="CJ3" s="401"/>
      <c r="CK3" s="401"/>
      <c r="CL3" s="401"/>
      <c r="CM3" s="401"/>
      <c r="CN3" s="401"/>
      <c r="CO3" s="401"/>
      <c r="CP3" s="401"/>
      <c r="CQ3" s="401"/>
      <c r="CR3" s="401"/>
      <c r="CS3" s="401"/>
      <c r="CT3" s="401"/>
      <c r="CU3" s="401"/>
      <c r="CV3" s="401"/>
      <c r="CW3" s="401"/>
      <c r="CX3" s="401"/>
      <c r="CY3" s="401"/>
      <c r="CZ3" s="401"/>
      <c r="DA3" s="401"/>
      <c r="DB3" s="401"/>
      <c r="DC3" s="401"/>
      <c r="DD3" s="401"/>
      <c r="DE3" s="401"/>
      <c r="DF3" s="401"/>
      <c r="DG3" s="401"/>
      <c r="DH3" s="401"/>
      <c r="DI3" s="401"/>
      <c r="DJ3" s="401"/>
      <c r="DK3" s="401"/>
      <c r="DL3" s="401"/>
      <c r="DM3" s="401"/>
      <c r="DN3" s="401"/>
      <c r="DO3" s="401"/>
      <c r="DP3" s="401"/>
      <c r="DQ3" s="401"/>
      <c r="DR3" s="401"/>
      <c r="DS3" s="401"/>
      <c r="DT3" s="401"/>
    </row>
    <row r="4" spans="1:124" ht="15" thickBot="1">
      <c r="A4" s="529"/>
      <c r="B4" s="530" t="s">
        <v>1</v>
      </c>
      <c r="C4" s="531" t="s">
        <v>2</v>
      </c>
      <c r="D4" s="530" t="s">
        <v>3</v>
      </c>
      <c r="E4" s="530" t="s">
        <v>4</v>
      </c>
      <c r="F4" s="530" t="s">
        <v>383</v>
      </c>
      <c r="G4" s="530" t="s">
        <v>5</v>
      </c>
      <c r="H4" s="532" t="s">
        <v>6</v>
      </c>
      <c r="I4" s="401"/>
      <c r="J4" s="533" t="s">
        <v>56</v>
      </c>
      <c r="K4" s="534" t="s">
        <v>66</v>
      </c>
      <c r="L4" s="535" t="s">
        <v>54</v>
      </c>
      <c r="M4" s="401"/>
      <c r="N4" s="401"/>
      <c r="O4" s="536" t="e">
        <f>CONCATENATE(IF(laufrad_form="F",meldung_54,meldung_90)," ",matrix_nr)</f>
        <v>#VALUE!</v>
      </c>
      <c r="P4" s="537" t="s">
        <v>53</v>
      </c>
      <c r="Q4" s="537" t="s">
        <v>54</v>
      </c>
      <c r="R4" s="538"/>
      <c r="S4" s="539" t="e">
        <f>VALUE(D35)</f>
        <v>#VALUE!</v>
      </c>
      <c r="T4" s="538"/>
      <c r="U4" s="401"/>
      <c r="V4" s="401"/>
      <c r="W4" s="402"/>
      <c r="X4" s="402"/>
      <c r="Y4" s="402"/>
      <c r="Z4" s="402"/>
      <c r="AA4" s="404"/>
      <c r="AB4" s="401"/>
      <c r="AC4" s="401"/>
      <c r="AD4" s="401"/>
      <c r="AE4" s="401"/>
      <c r="AF4" s="401"/>
      <c r="AG4" s="401"/>
      <c r="AH4" s="401"/>
      <c r="AI4" s="401"/>
      <c r="AJ4" s="401"/>
      <c r="AK4" s="401"/>
      <c r="AL4" s="401"/>
      <c r="AM4" s="401"/>
      <c r="AN4" s="401"/>
      <c r="AO4" s="401"/>
      <c r="AP4" s="401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  <c r="BE4" s="401"/>
      <c r="BF4" s="401"/>
      <c r="BG4" s="401"/>
      <c r="BH4" s="401"/>
      <c r="BI4" s="401"/>
      <c r="BJ4" s="401"/>
      <c r="BK4" s="401"/>
      <c r="BL4" s="401"/>
      <c r="BM4" s="401"/>
      <c r="BN4" s="401"/>
      <c r="BO4" s="401"/>
      <c r="BP4" s="401"/>
      <c r="BQ4" s="401"/>
      <c r="BR4" s="401"/>
      <c r="BS4" s="401"/>
      <c r="BT4" s="401"/>
      <c r="BU4" s="401"/>
      <c r="BV4" s="401"/>
      <c r="BW4" s="401"/>
      <c r="BX4" s="401"/>
      <c r="BY4" s="401"/>
      <c r="BZ4" s="401"/>
      <c r="CA4" s="401"/>
      <c r="CB4" s="401"/>
      <c r="CC4" s="401"/>
      <c r="CD4" s="401"/>
      <c r="CE4" s="401"/>
      <c r="CF4" s="401"/>
      <c r="CG4" s="401"/>
      <c r="CH4" s="401"/>
      <c r="CI4" s="401"/>
      <c r="CJ4" s="401"/>
      <c r="CK4" s="401"/>
      <c r="CL4" s="401"/>
      <c r="CM4" s="401"/>
      <c r="CN4" s="401"/>
      <c r="CO4" s="401"/>
      <c r="CP4" s="401"/>
      <c r="CQ4" s="401"/>
      <c r="CR4" s="401"/>
      <c r="CS4" s="401"/>
      <c r="CT4" s="401"/>
      <c r="CU4" s="401"/>
      <c r="CV4" s="401"/>
      <c r="CW4" s="401"/>
      <c r="CX4" s="401"/>
      <c r="CY4" s="401"/>
      <c r="CZ4" s="401"/>
      <c r="DA4" s="401"/>
      <c r="DB4" s="401"/>
      <c r="DC4" s="401"/>
      <c r="DD4" s="401"/>
      <c r="DE4" s="401"/>
      <c r="DF4" s="401"/>
      <c r="DG4" s="401"/>
      <c r="DH4" s="401"/>
      <c r="DI4" s="401"/>
      <c r="DJ4" s="401"/>
      <c r="DK4" s="401"/>
      <c r="DL4" s="401"/>
      <c r="DM4" s="401"/>
      <c r="DN4" s="401"/>
      <c r="DO4" s="401"/>
      <c r="DP4" s="401"/>
      <c r="DQ4" s="401"/>
      <c r="DR4" s="401"/>
      <c r="DS4" s="401"/>
      <c r="DT4" s="401"/>
    </row>
    <row r="5" spans="1:124" ht="14.25">
      <c r="A5" s="540" t="s">
        <v>7</v>
      </c>
      <c r="B5" s="541">
        <v>1</v>
      </c>
      <c r="C5" s="542" t="s">
        <v>199</v>
      </c>
      <c r="D5" s="543">
        <v>0</v>
      </c>
      <c r="E5" s="544">
        <f>MAX(B77:B90)</f>
        <v>24</v>
      </c>
      <c r="F5" s="545">
        <f xml:space="preserve"> -0.00546417*qmax_f1^2 - 0.28403585*qmax_f1 + 11.92514327</f>
        <v>1.9609209500000002</v>
      </c>
      <c r="G5" s="545" t="e">
        <f xml:space="preserve"> -0.00546417*qpumpe_bp^2 - 0.28403585*qpumpe_bp + 11.92514327</f>
        <v>#VALUE!</v>
      </c>
      <c r="H5" s="546" t="e">
        <f xml:space="preserve"> -0.00546417*qzulauf^2 - 0.28403585*qzulauf + 11.92514327</f>
        <v>#VALUE!</v>
      </c>
      <c r="I5" s="528"/>
      <c r="J5" s="547" t="s">
        <v>57</v>
      </c>
      <c r="K5" s="548">
        <v>0</v>
      </c>
      <c r="L5" s="549">
        <f>fh_geo</f>
        <v>0</v>
      </c>
      <c r="N5" s="401"/>
      <c r="O5" s="550">
        <v>1</v>
      </c>
      <c r="P5" s="550" t="e">
        <f t="shared" ref="P5:P18" si="0">VLOOKUP(O5,IF(laufrad_form="F",IF(matrix_nr=5,matrix_kennlinie_F5,IF(matrix_nr=4,matrix_kennlinie_F4,IF(matrix_nr=3,matrix_kennlinie_F3,IF(matrix_nr=2,matrix_kennlinie_F2,matrix_kennlinie_F1)))),   IF(matrix_nr=2,matrix_kennlinie_s2,IF(matrix_nr=1,matrix_kennlinie_s1))),   2,1)</f>
        <v>#VALUE!</v>
      </c>
      <c r="Q5" s="551" t="e">
        <f t="shared" ref="Q5:Q18" si="1">VLOOKUP(O5,IF(laufrad_form="F",IF(matrix_nr=5,matrix_kennlinie_F5,IF(matrix_nr=4,matrix_kennlinie_F4,IF(matrix_nr=3,matrix_kennlinie_F3,IF(matrix_nr=2,matrix_kennlinie_F2,matrix_kennlinie_F1)))),   IF(matrix_nr=2,matrix_kennlinie_s2,IF(matrix_nr=1,matrix_kennlinie_s1))),3,1)</f>
        <v>#VALUE!</v>
      </c>
      <c r="R5" s="552">
        <v>1</v>
      </c>
      <c r="S5" s="553" t="s">
        <v>110</v>
      </c>
      <c r="T5" s="553"/>
      <c r="U5" s="401"/>
      <c r="V5" s="401"/>
      <c r="W5" s="402"/>
      <c r="X5" s="402"/>
      <c r="Y5" s="402"/>
      <c r="Z5" s="402"/>
      <c r="AA5" s="404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  <c r="AO5" s="401"/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401"/>
      <c r="BB5" s="401"/>
      <c r="BC5" s="401"/>
      <c r="BD5" s="401"/>
      <c r="BE5" s="401"/>
      <c r="BF5" s="401"/>
      <c r="BG5" s="401"/>
      <c r="BH5" s="401"/>
      <c r="BI5" s="401"/>
      <c r="BJ5" s="401"/>
      <c r="BK5" s="401"/>
      <c r="BL5" s="401"/>
      <c r="BM5" s="401"/>
      <c r="BN5" s="401"/>
      <c r="BO5" s="401"/>
      <c r="BP5" s="401"/>
      <c r="BQ5" s="401"/>
      <c r="BR5" s="401"/>
      <c r="BS5" s="401"/>
      <c r="BT5" s="401"/>
      <c r="BU5" s="401"/>
      <c r="BV5" s="401"/>
      <c r="BW5" s="401"/>
      <c r="BX5" s="401"/>
      <c r="BY5" s="401"/>
      <c r="BZ5" s="401"/>
      <c r="CA5" s="401"/>
      <c r="CB5" s="401"/>
      <c r="CC5" s="401"/>
      <c r="CD5" s="401"/>
      <c r="CE5" s="401"/>
      <c r="CF5" s="401"/>
      <c r="CG5" s="401"/>
      <c r="CH5" s="401"/>
      <c r="CI5" s="401"/>
      <c r="CJ5" s="401"/>
      <c r="CK5" s="401"/>
      <c r="CL5" s="401"/>
      <c r="CM5" s="401"/>
      <c r="CN5" s="401"/>
      <c r="CO5" s="401"/>
      <c r="CP5" s="401"/>
      <c r="CQ5" s="401"/>
      <c r="CR5" s="401"/>
      <c r="CS5" s="401"/>
      <c r="CT5" s="401"/>
      <c r="CU5" s="401"/>
      <c r="CV5" s="401"/>
      <c r="CW5" s="401"/>
      <c r="CX5" s="401"/>
      <c r="CY5" s="401"/>
      <c r="CZ5" s="401"/>
      <c r="DA5" s="401"/>
      <c r="DB5" s="401"/>
      <c r="DC5" s="401"/>
      <c r="DD5" s="401"/>
      <c r="DE5" s="401"/>
      <c r="DF5" s="401"/>
      <c r="DG5" s="401"/>
      <c r="DH5" s="401"/>
      <c r="DI5" s="401"/>
      <c r="DJ5" s="401"/>
      <c r="DK5" s="401"/>
      <c r="DL5" s="401"/>
      <c r="DM5" s="401"/>
      <c r="DN5" s="401"/>
      <c r="DO5" s="401"/>
      <c r="DP5" s="401"/>
      <c r="DQ5" s="401"/>
      <c r="DR5" s="401"/>
      <c r="DS5" s="401"/>
      <c r="DT5" s="401"/>
    </row>
    <row r="6" spans="1:124" ht="14.25">
      <c r="A6" s="554" t="s">
        <v>8</v>
      </c>
      <c r="B6" s="555">
        <v>2</v>
      </c>
      <c r="C6" s="556" t="s">
        <v>200</v>
      </c>
      <c r="D6" s="557">
        <v>0</v>
      </c>
      <c r="E6" s="558">
        <f>MAX(E77:E90)</f>
        <v>34</v>
      </c>
      <c r="F6" s="559">
        <f>-0.00212898*qmax_f2^2 - 0.29829257*qmax_f2 + 15.28853066</f>
        <v>2.6854823999999997</v>
      </c>
      <c r="G6" s="559" t="e">
        <f>-0.00212898*qpumpe_bp^2 - 0.29829257*qpumpe_bp + 15.28853066</f>
        <v>#VALUE!</v>
      </c>
      <c r="H6" s="560" t="e">
        <f>-0.00212898*qzulauf^2 - 0.29829257*qzulauf + 15.28853066</f>
        <v>#VALUE!</v>
      </c>
      <c r="I6" s="528"/>
      <c r="J6" s="561"/>
      <c r="K6" s="562" t="e">
        <f>0.1*fmenge</f>
        <v>#VALUE!</v>
      </c>
      <c r="L6" s="563" t="e">
        <f t="shared" ref="L6:L11" si="2">fh_geo+(zeta_gesamt*(4*K6/((dn*10^(-3))^2*PI())/3600)^2/(2*9.81))</f>
        <v>#VALUE!</v>
      </c>
      <c r="M6" s="401"/>
      <c r="N6" s="401"/>
      <c r="O6" s="550">
        <v>2</v>
      </c>
      <c r="P6" s="550" t="e">
        <f t="shared" si="0"/>
        <v>#VALUE!</v>
      </c>
      <c r="Q6" s="551" t="e">
        <f t="shared" si="1"/>
        <v>#VALUE!</v>
      </c>
      <c r="R6" s="552">
        <v>2</v>
      </c>
      <c r="S6" s="553" t="s">
        <v>111</v>
      </c>
      <c r="T6" s="553"/>
      <c r="U6" s="401"/>
      <c r="V6" s="401"/>
      <c r="W6" s="402"/>
      <c r="X6" s="564"/>
      <c r="Y6" s="564"/>
      <c r="Z6" s="402"/>
      <c r="AA6" s="404"/>
      <c r="AB6" s="401"/>
      <c r="AC6" s="401"/>
      <c r="AD6" s="401"/>
      <c r="AE6" s="401"/>
      <c r="AF6" s="401"/>
      <c r="AG6" s="401"/>
      <c r="AH6" s="401"/>
      <c r="AI6" s="401"/>
      <c r="AJ6" s="401"/>
      <c r="AK6" s="401"/>
      <c r="AL6" s="401"/>
      <c r="AM6" s="401"/>
      <c r="AN6" s="401"/>
      <c r="AO6" s="401"/>
      <c r="AP6" s="401"/>
      <c r="AQ6" s="401"/>
      <c r="AR6" s="401"/>
      <c r="AS6" s="401"/>
      <c r="AT6" s="401"/>
      <c r="AU6" s="401"/>
      <c r="AV6" s="401"/>
      <c r="AW6" s="401"/>
      <c r="AX6" s="401"/>
      <c r="AY6" s="401"/>
      <c r="AZ6" s="401"/>
      <c r="BA6" s="401"/>
      <c r="BB6" s="401"/>
      <c r="BC6" s="401"/>
      <c r="BD6" s="401"/>
      <c r="BE6" s="401"/>
      <c r="BF6" s="401"/>
      <c r="BG6" s="401"/>
      <c r="BH6" s="401"/>
      <c r="BI6" s="401"/>
      <c r="BJ6" s="401"/>
      <c r="BK6" s="401"/>
      <c r="BL6" s="401"/>
      <c r="BM6" s="401"/>
      <c r="BN6" s="401"/>
      <c r="BO6" s="401"/>
      <c r="BP6" s="401"/>
      <c r="BQ6" s="401"/>
      <c r="BR6" s="401"/>
      <c r="BS6" s="401"/>
      <c r="BT6" s="401"/>
      <c r="BU6" s="401"/>
      <c r="BV6" s="401"/>
      <c r="BW6" s="401"/>
      <c r="BX6" s="401"/>
      <c r="BY6" s="401"/>
      <c r="BZ6" s="401"/>
      <c r="CA6" s="401"/>
      <c r="CB6" s="401"/>
      <c r="CC6" s="401"/>
      <c r="CD6" s="401"/>
      <c r="CE6" s="401"/>
      <c r="CF6" s="401"/>
      <c r="CG6" s="401"/>
      <c r="CH6" s="401"/>
      <c r="CI6" s="401"/>
      <c r="CJ6" s="401"/>
      <c r="CK6" s="401"/>
      <c r="CL6" s="401"/>
      <c r="CM6" s="401"/>
      <c r="CN6" s="401"/>
      <c r="CO6" s="401"/>
      <c r="CP6" s="401"/>
      <c r="CQ6" s="401"/>
      <c r="CR6" s="401"/>
      <c r="CS6" s="401"/>
      <c r="CT6" s="401"/>
      <c r="CU6" s="401"/>
      <c r="CV6" s="401"/>
      <c r="CW6" s="401"/>
      <c r="CX6" s="401"/>
      <c r="CY6" s="401"/>
      <c r="CZ6" s="401"/>
      <c r="DA6" s="401"/>
      <c r="DB6" s="401"/>
      <c r="DC6" s="401"/>
      <c r="DD6" s="401"/>
      <c r="DE6" s="401"/>
      <c r="DF6" s="401"/>
      <c r="DG6" s="401"/>
      <c r="DH6" s="401"/>
      <c r="DI6" s="401"/>
      <c r="DJ6" s="401"/>
      <c r="DK6" s="401"/>
      <c r="DL6" s="401"/>
      <c r="DM6" s="401"/>
      <c r="DN6" s="401"/>
      <c r="DO6" s="401"/>
      <c r="DP6" s="401"/>
      <c r="DQ6" s="401"/>
      <c r="DR6" s="401"/>
      <c r="DS6" s="401"/>
      <c r="DT6" s="401"/>
    </row>
    <row r="7" spans="1:124" ht="14.25">
      <c r="A7" s="554" t="s">
        <v>9</v>
      </c>
      <c r="B7" s="555">
        <v>3</v>
      </c>
      <c r="C7" s="556" t="s">
        <v>375</v>
      </c>
      <c r="D7" s="557">
        <v>0</v>
      </c>
      <c r="E7" s="558">
        <f>MAX(H77:H90)</f>
        <v>55</v>
      </c>
      <c r="F7" s="559">
        <f>-0.1816*qmax_f3 + 13.665</f>
        <v>3.6769999999999978</v>
      </c>
      <c r="G7" s="559" t="e">
        <f>-0.1816*qpumpe_bp + 13.665</f>
        <v>#VALUE!</v>
      </c>
      <c r="H7" s="565" t="e">
        <f xml:space="preserve"> -0.1816*qzulauf + 13.665</f>
        <v>#VALUE!</v>
      </c>
      <c r="I7" s="528"/>
      <c r="J7" s="561"/>
      <c r="K7" s="562" t="e">
        <f>0.3*fmenge</f>
        <v>#VALUE!</v>
      </c>
      <c r="L7" s="563" t="e">
        <f t="shared" si="2"/>
        <v>#VALUE!</v>
      </c>
      <c r="M7" s="401"/>
      <c r="N7" s="401"/>
      <c r="O7" s="550">
        <v>3</v>
      </c>
      <c r="P7" s="550" t="e">
        <f t="shared" si="0"/>
        <v>#VALUE!</v>
      </c>
      <c r="Q7" s="551" t="e">
        <f t="shared" si="1"/>
        <v>#VALUE!</v>
      </c>
      <c r="R7" s="552">
        <v>3</v>
      </c>
      <c r="S7" s="553" t="s">
        <v>112</v>
      </c>
      <c r="T7" s="553"/>
      <c r="U7" s="401"/>
      <c r="V7" s="401"/>
      <c r="W7" s="402"/>
      <c r="X7" s="402"/>
      <c r="Y7" s="402"/>
      <c r="Z7" s="402"/>
      <c r="AA7" s="404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  <c r="BB7" s="401"/>
      <c r="BC7" s="401"/>
      <c r="BD7" s="401"/>
      <c r="BE7" s="401"/>
      <c r="BF7" s="401"/>
      <c r="BG7" s="401"/>
      <c r="BH7" s="401"/>
      <c r="BI7" s="401"/>
      <c r="BJ7" s="401"/>
      <c r="BK7" s="401"/>
      <c r="BL7" s="401"/>
      <c r="BM7" s="401"/>
      <c r="BN7" s="401"/>
      <c r="BO7" s="401"/>
      <c r="BP7" s="401"/>
      <c r="BQ7" s="401"/>
      <c r="BR7" s="401"/>
      <c r="BS7" s="401"/>
      <c r="BT7" s="401"/>
      <c r="BU7" s="401"/>
      <c r="BV7" s="401"/>
      <c r="BW7" s="401"/>
      <c r="BX7" s="401"/>
      <c r="BY7" s="401"/>
      <c r="BZ7" s="401"/>
      <c r="CA7" s="401"/>
      <c r="CB7" s="401"/>
      <c r="CC7" s="401"/>
      <c r="CD7" s="401"/>
      <c r="CE7" s="401"/>
      <c r="CF7" s="401"/>
      <c r="CG7" s="401"/>
      <c r="CH7" s="401"/>
      <c r="CI7" s="401"/>
      <c r="CJ7" s="401"/>
      <c r="CK7" s="401"/>
      <c r="CL7" s="401"/>
      <c r="CM7" s="401"/>
      <c r="CN7" s="401"/>
      <c r="CO7" s="401"/>
      <c r="CP7" s="401"/>
      <c r="CQ7" s="401"/>
      <c r="CR7" s="401"/>
      <c r="CS7" s="401"/>
      <c r="CT7" s="401"/>
      <c r="CU7" s="401"/>
      <c r="CV7" s="401"/>
      <c r="CW7" s="401"/>
      <c r="CX7" s="401"/>
      <c r="CY7" s="401"/>
      <c r="CZ7" s="401"/>
      <c r="DA7" s="401"/>
      <c r="DB7" s="401"/>
      <c r="DC7" s="401"/>
      <c r="DD7" s="401"/>
      <c r="DE7" s="401"/>
      <c r="DF7" s="401"/>
      <c r="DG7" s="401"/>
      <c r="DH7" s="401"/>
      <c r="DI7" s="401"/>
      <c r="DJ7" s="401"/>
      <c r="DK7" s="401"/>
      <c r="DL7" s="401"/>
      <c r="DM7" s="401"/>
      <c r="DN7" s="401"/>
      <c r="DO7" s="401"/>
      <c r="DP7" s="401"/>
      <c r="DQ7" s="401"/>
      <c r="DR7" s="401"/>
      <c r="DS7" s="401"/>
      <c r="DT7" s="401"/>
    </row>
    <row r="8" spans="1:124" ht="14.25">
      <c r="A8" s="554" t="s">
        <v>10</v>
      </c>
      <c r="B8" s="555">
        <v>4</v>
      </c>
      <c r="C8" s="556" t="s">
        <v>377</v>
      </c>
      <c r="D8" s="557">
        <v>0</v>
      </c>
      <c r="E8" s="558">
        <f>MAX(K77:K90)</f>
        <v>60</v>
      </c>
      <c r="F8" s="566">
        <f xml:space="preserve"> -0.2137*qmax_f4 + 17.443</f>
        <v>4.6210000000000022</v>
      </c>
      <c r="G8" s="566" t="e">
        <f xml:space="preserve"> -0.2137*qpumpe_bp + 17.443</f>
        <v>#VALUE!</v>
      </c>
      <c r="H8" s="565" t="e">
        <f xml:space="preserve"> -0.2137*qzulauf + 17.443</f>
        <v>#VALUE!</v>
      </c>
      <c r="I8" s="528"/>
      <c r="J8" s="561"/>
      <c r="K8" s="562" t="e">
        <f>0.45*fmenge</f>
        <v>#VALUE!</v>
      </c>
      <c r="L8" s="563" t="e">
        <f t="shared" si="2"/>
        <v>#VALUE!</v>
      </c>
      <c r="M8" s="401"/>
      <c r="N8" s="401"/>
      <c r="O8" s="567">
        <v>4</v>
      </c>
      <c r="P8" s="550" t="e">
        <f t="shared" si="0"/>
        <v>#VALUE!</v>
      </c>
      <c r="Q8" s="551" t="e">
        <f t="shared" si="1"/>
        <v>#VALUE!</v>
      </c>
      <c r="R8" s="568">
        <v>4</v>
      </c>
      <c r="S8" s="553" t="s">
        <v>113</v>
      </c>
      <c r="T8" s="553"/>
      <c r="U8" s="401"/>
      <c r="V8" s="401"/>
      <c r="W8" s="402"/>
      <c r="X8" s="402"/>
      <c r="Y8" s="402"/>
      <c r="Z8" s="402"/>
      <c r="AA8" s="404"/>
      <c r="AB8" s="401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401"/>
      <c r="AV8" s="401"/>
      <c r="AW8" s="401"/>
      <c r="AX8" s="401"/>
      <c r="AY8" s="401"/>
      <c r="AZ8" s="401"/>
      <c r="BA8" s="401"/>
      <c r="BB8" s="401"/>
      <c r="BC8" s="401"/>
      <c r="BD8" s="401"/>
      <c r="BE8" s="401"/>
      <c r="BF8" s="401"/>
      <c r="BG8" s="401"/>
      <c r="BH8" s="401"/>
      <c r="BI8" s="401"/>
      <c r="BJ8" s="401"/>
      <c r="BK8" s="401"/>
      <c r="BL8" s="401"/>
      <c r="BM8" s="401"/>
      <c r="BN8" s="401"/>
      <c r="BO8" s="401"/>
      <c r="BP8" s="401"/>
      <c r="BQ8" s="401"/>
      <c r="BR8" s="401"/>
      <c r="BS8" s="401"/>
      <c r="BT8" s="401"/>
      <c r="BU8" s="401"/>
      <c r="BV8" s="401"/>
      <c r="BW8" s="401"/>
      <c r="BX8" s="401"/>
      <c r="BY8" s="401"/>
      <c r="BZ8" s="401"/>
      <c r="CA8" s="401"/>
      <c r="CB8" s="401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01"/>
      <c r="CS8" s="401"/>
      <c r="CT8" s="401"/>
      <c r="CU8" s="401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401"/>
      <c r="DG8" s="401"/>
      <c r="DH8" s="401"/>
      <c r="DI8" s="401"/>
      <c r="DJ8" s="401"/>
      <c r="DK8" s="401"/>
      <c r="DL8" s="401"/>
      <c r="DM8" s="401"/>
      <c r="DN8" s="401"/>
      <c r="DO8" s="401"/>
      <c r="DP8" s="401"/>
      <c r="DQ8" s="401"/>
      <c r="DR8" s="401"/>
      <c r="DS8" s="401"/>
      <c r="DT8" s="401"/>
    </row>
    <row r="9" spans="1:124" ht="15">
      <c r="A9" s="554" t="s">
        <v>102</v>
      </c>
      <c r="B9" s="555">
        <v>5</v>
      </c>
      <c r="C9" s="556" t="s">
        <v>379</v>
      </c>
      <c r="D9" s="557">
        <v>0</v>
      </c>
      <c r="E9" s="558">
        <f>MAX(N77:N90)</f>
        <v>71.5</v>
      </c>
      <c r="F9" s="566">
        <f xml:space="preserve"> -0.0016*qmax_f5^2 - 0.1437*qmax_f5 + 23.041</f>
        <v>4.5868500000000019</v>
      </c>
      <c r="G9" s="566" t="e">
        <f xml:space="preserve"> -0.0016*qpumpe_bp^2 - 0.1437*qpumpe_bp + 23.041</f>
        <v>#VALUE!</v>
      </c>
      <c r="H9" s="565" t="e">
        <f xml:space="preserve"> -0.00409747*qzulauf^2 - 0.05736868*qzulauf + 24.58848734</f>
        <v>#VALUE!</v>
      </c>
      <c r="I9" s="528"/>
      <c r="J9" s="561"/>
      <c r="K9" s="562" t="e">
        <f>0.6*fmenge</f>
        <v>#VALUE!</v>
      </c>
      <c r="L9" s="563" t="e">
        <f t="shared" si="2"/>
        <v>#VALUE!</v>
      </c>
      <c r="M9" s="401"/>
      <c r="N9" s="401"/>
      <c r="O9" s="567">
        <v>5</v>
      </c>
      <c r="P9" s="550" t="e">
        <f t="shared" si="0"/>
        <v>#VALUE!</v>
      </c>
      <c r="Q9" s="551" t="e">
        <f t="shared" si="1"/>
        <v>#VALUE!</v>
      </c>
      <c r="R9" s="568">
        <v>5</v>
      </c>
      <c r="S9" s="553" t="s">
        <v>114</v>
      </c>
      <c r="T9" s="553"/>
      <c r="U9" s="401"/>
      <c r="V9" s="401"/>
      <c r="W9" s="569"/>
      <c r="AH9" s="401"/>
      <c r="AI9" s="401"/>
      <c r="AJ9" s="401"/>
      <c r="AK9" s="401"/>
      <c r="AL9" s="401"/>
      <c r="AM9" s="401"/>
      <c r="AN9" s="401"/>
      <c r="AO9" s="401"/>
      <c r="AP9" s="401"/>
      <c r="AQ9" s="401"/>
      <c r="AR9" s="401"/>
      <c r="AS9" s="401"/>
      <c r="AT9" s="401"/>
      <c r="AU9" s="401"/>
      <c r="AV9" s="401"/>
      <c r="AW9" s="401"/>
      <c r="AX9" s="401"/>
      <c r="AY9" s="401"/>
      <c r="AZ9" s="401"/>
      <c r="BA9" s="401"/>
      <c r="BB9" s="401"/>
      <c r="BC9" s="401"/>
      <c r="BD9" s="401"/>
      <c r="BE9" s="401"/>
      <c r="BF9" s="401"/>
      <c r="BG9" s="401"/>
      <c r="BH9" s="401"/>
      <c r="BI9" s="401"/>
      <c r="BJ9" s="401"/>
      <c r="BK9" s="401"/>
      <c r="BL9" s="401"/>
      <c r="BM9" s="401"/>
      <c r="BN9" s="401"/>
      <c r="BO9" s="401"/>
      <c r="BP9" s="401"/>
      <c r="BQ9" s="401"/>
      <c r="BR9" s="401"/>
      <c r="BS9" s="401"/>
      <c r="BT9" s="401"/>
      <c r="BU9" s="401"/>
      <c r="BV9" s="401"/>
      <c r="BW9" s="401"/>
      <c r="BX9" s="401"/>
      <c r="BY9" s="401"/>
      <c r="BZ9" s="401"/>
      <c r="CA9" s="401"/>
      <c r="CB9" s="401"/>
      <c r="CC9" s="401"/>
      <c r="CD9" s="401"/>
      <c r="CE9" s="401"/>
      <c r="CF9" s="401"/>
      <c r="CG9" s="401"/>
      <c r="CH9" s="401"/>
      <c r="CI9" s="401"/>
      <c r="CJ9" s="401"/>
      <c r="CK9" s="401"/>
      <c r="CL9" s="401"/>
      <c r="CM9" s="401"/>
      <c r="CN9" s="401"/>
      <c r="CO9" s="401"/>
      <c r="CP9" s="401"/>
      <c r="CQ9" s="401"/>
      <c r="CR9" s="401"/>
      <c r="CS9" s="401"/>
      <c r="CT9" s="401"/>
      <c r="CU9" s="401"/>
      <c r="CV9" s="401"/>
      <c r="CW9" s="401"/>
      <c r="CX9" s="401"/>
      <c r="CY9" s="401"/>
      <c r="CZ9" s="401"/>
      <c r="DA9" s="401"/>
      <c r="DB9" s="401"/>
      <c r="DC9" s="401"/>
      <c r="DD9" s="401"/>
      <c r="DE9" s="401"/>
      <c r="DF9" s="401"/>
      <c r="DG9" s="401"/>
      <c r="DH9" s="401"/>
      <c r="DI9" s="401"/>
      <c r="DJ9" s="401"/>
      <c r="DK9" s="401"/>
      <c r="DL9" s="401"/>
      <c r="DM9" s="401"/>
      <c r="DN9" s="401"/>
      <c r="DO9" s="401"/>
      <c r="DP9" s="401"/>
      <c r="DQ9" s="401"/>
      <c r="DR9" s="401"/>
      <c r="DS9" s="401"/>
      <c r="DT9" s="401"/>
    </row>
    <row r="10" spans="1:124" ht="14.25">
      <c r="A10" s="554" t="s">
        <v>739</v>
      </c>
      <c r="B10" s="555" t="s">
        <v>737</v>
      </c>
      <c r="C10" s="570" t="s">
        <v>937</v>
      </c>
      <c r="D10" s="557">
        <v>0</v>
      </c>
      <c r="E10" s="558">
        <v>14</v>
      </c>
      <c r="F10" s="566">
        <f xml:space="preserve"> -0.0218*qmax_s1^2 - 0.7856*qmax_s1 + 17.979</f>
        <v>2.7077999999999989</v>
      </c>
      <c r="G10" s="566" t="e">
        <f xml:space="preserve"> -0.0218*qpumpe_bp^2 - 0.7856*qpumpe_bp +17.979</f>
        <v>#VALUE!</v>
      </c>
      <c r="H10" s="565" t="e">
        <f xml:space="preserve"> -0.0218*qzulauf^2 - 0.7856*qzulauf + 17.979</f>
        <v>#VALUE!</v>
      </c>
      <c r="J10" s="561"/>
      <c r="K10" s="562" t="e">
        <f>0.75*fmenge</f>
        <v>#VALUE!</v>
      </c>
      <c r="L10" s="563" t="e">
        <f t="shared" si="2"/>
        <v>#VALUE!</v>
      </c>
      <c r="M10" s="401"/>
      <c r="N10" s="401"/>
      <c r="O10" s="567">
        <v>6</v>
      </c>
      <c r="P10" s="550" t="e">
        <f t="shared" si="0"/>
        <v>#VALUE!</v>
      </c>
      <c r="Q10" s="551" t="e">
        <f t="shared" si="1"/>
        <v>#VALUE!</v>
      </c>
      <c r="R10" s="571" t="s">
        <v>737</v>
      </c>
      <c r="S10" s="553" t="s">
        <v>735</v>
      </c>
      <c r="T10" s="401"/>
      <c r="U10" s="401"/>
      <c r="V10" s="401"/>
      <c r="W10" s="402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401"/>
      <c r="AY10" s="401"/>
      <c r="AZ10" s="401"/>
      <c r="BA10" s="401"/>
      <c r="BB10" s="401"/>
      <c r="BC10" s="401"/>
      <c r="BD10" s="401"/>
      <c r="BE10" s="401"/>
      <c r="BF10" s="401"/>
      <c r="BG10" s="401"/>
      <c r="BH10" s="401"/>
      <c r="BI10" s="401"/>
      <c r="BJ10" s="401"/>
      <c r="BK10" s="401"/>
      <c r="BL10" s="401"/>
      <c r="BM10" s="401"/>
      <c r="BN10" s="401"/>
      <c r="BO10" s="401"/>
      <c r="BP10" s="401"/>
      <c r="BQ10" s="401"/>
      <c r="BR10" s="401"/>
      <c r="BS10" s="401"/>
      <c r="BT10" s="401"/>
      <c r="BU10" s="401"/>
      <c r="BV10" s="401"/>
      <c r="BW10" s="401"/>
      <c r="BX10" s="401"/>
      <c r="BY10" s="401"/>
      <c r="BZ10" s="401"/>
      <c r="CA10" s="401"/>
      <c r="CB10" s="401"/>
      <c r="CC10" s="401"/>
      <c r="CD10" s="401"/>
      <c r="CE10" s="401"/>
      <c r="CF10" s="401"/>
      <c r="CG10" s="401"/>
      <c r="CH10" s="401"/>
      <c r="CI10" s="401"/>
      <c r="CJ10" s="401"/>
      <c r="CK10" s="401"/>
      <c r="CL10" s="401"/>
      <c r="CM10" s="401"/>
      <c r="CN10" s="401"/>
      <c r="CO10" s="401"/>
      <c r="CP10" s="401"/>
      <c r="CQ10" s="401"/>
      <c r="CR10" s="401"/>
      <c r="CS10" s="401"/>
      <c r="CT10" s="401"/>
      <c r="CU10" s="401"/>
      <c r="CV10" s="401"/>
      <c r="CW10" s="401"/>
      <c r="CX10" s="401"/>
      <c r="CY10" s="401"/>
      <c r="CZ10" s="401"/>
      <c r="DA10" s="401"/>
      <c r="DB10" s="401"/>
      <c r="DC10" s="401"/>
      <c r="DD10" s="401"/>
      <c r="DE10" s="401"/>
      <c r="DF10" s="401"/>
      <c r="DG10" s="401"/>
      <c r="DH10" s="401"/>
      <c r="DI10" s="401"/>
      <c r="DJ10" s="401"/>
      <c r="DK10" s="401"/>
      <c r="DL10" s="401"/>
      <c r="DM10" s="401"/>
      <c r="DN10" s="401"/>
      <c r="DO10" s="401"/>
      <c r="DP10" s="401"/>
      <c r="DQ10" s="401"/>
      <c r="DR10" s="401"/>
      <c r="DS10" s="401"/>
      <c r="DT10" s="401"/>
    </row>
    <row r="11" spans="1:124" ht="14.25">
      <c r="A11" s="572" t="s">
        <v>740</v>
      </c>
      <c r="B11" s="573" t="s">
        <v>738</v>
      </c>
      <c r="C11" s="574" t="s">
        <v>938</v>
      </c>
      <c r="D11" s="557">
        <v>0</v>
      </c>
      <c r="E11" s="558">
        <v>14.7</v>
      </c>
      <c r="F11" s="566">
        <f xml:space="preserve"> -0.0715*qmax_s2^2 - 0.415*qmax_s2 + 25.057</f>
        <v>3.5060650000000031</v>
      </c>
      <c r="G11" s="575" t="e">
        <f xml:space="preserve"> -0.0715*qpumpe_bp^2 - 0.415*qpumpe_bp + 25.057</f>
        <v>#VALUE!</v>
      </c>
      <c r="H11" s="565" t="e">
        <f xml:space="preserve"> -0.00409747*qzulauf^2 - 0.05736868*qzulauf + 24.58848734</f>
        <v>#VALUE!</v>
      </c>
      <c r="J11" s="561"/>
      <c r="K11" s="562" t="e">
        <f>0.9*fmenge</f>
        <v>#VALUE!</v>
      </c>
      <c r="L11" s="563" t="e">
        <f t="shared" si="2"/>
        <v>#VALUE!</v>
      </c>
      <c r="M11" s="401"/>
      <c r="N11" s="401"/>
      <c r="O11" s="567">
        <v>7</v>
      </c>
      <c r="P11" s="550" t="e">
        <f t="shared" si="0"/>
        <v>#VALUE!</v>
      </c>
      <c r="Q11" s="551" t="e">
        <f t="shared" si="1"/>
        <v>#VALUE!</v>
      </c>
      <c r="R11" s="571" t="s">
        <v>738</v>
      </c>
      <c r="S11" s="553" t="s">
        <v>736</v>
      </c>
      <c r="T11" s="401"/>
      <c r="U11" s="401"/>
      <c r="V11" s="401"/>
      <c r="W11" s="402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1"/>
      <c r="AS11" s="401"/>
      <c r="AT11" s="401"/>
      <c r="AU11" s="401"/>
      <c r="AV11" s="401"/>
      <c r="AW11" s="401"/>
      <c r="AX11" s="401"/>
      <c r="AY11" s="401"/>
      <c r="AZ11" s="401"/>
      <c r="BA11" s="401"/>
      <c r="BB11" s="401"/>
      <c r="BC11" s="401"/>
      <c r="BD11" s="401"/>
      <c r="BE11" s="401"/>
      <c r="BF11" s="401"/>
      <c r="BG11" s="401"/>
      <c r="BH11" s="401"/>
      <c r="BI11" s="401"/>
      <c r="BJ11" s="401"/>
      <c r="BK11" s="401"/>
      <c r="BL11" s="401"/>
      <c r="BM11" s="401"/>
      <c r="BN11" s="401"/>
      <c r="BO11" s="401"/>
      <c r="BP11" s="401"/>
      <c r="BQ11" s="401"/>
      <c r="BR11" s="401"/>
      <c r="BS11" s="401"/>
      <c r="BT11" s="401"/>
      <c r="BU11" s="401"/>
      <c r="BV11" s="401"/>
      <c r="BW11" s="401"/>
      <c r="BX11" s="401"/>
      <c r="BY11" s="401"/>
      <c r="BZ11" s="401"/>
      <c r="CA11" s="401"/>
      <c r="CB11" s="401"/>
      <c r="CC11" s="401"/>
      <c r="CD11" s="401"/>
      <c r="CE11" s="401"/>
      <c r="CF11" s="401"/>
      <c r="CG11" s="401"/>
      <c r="CH11" s="401"/>
      <c r="CI11" s="401"/>
      <c r="CJ11" s="401"/>
      <c r="CK11" s="401"/>
      <c r="CL11" s="401"/>
      <c r="CM11" s="401"/>
      <c r="CN11" s="401"/>
      <c r="CO11" s="401"/>
      <c r="CP11" s="401"/>
      <c r="CQ11" s="401"/>
      <c r="CR11" s="401"/>
      <c r="CS11" s="401"/>
      <c r="CT11" s="401"/>
      <c r="CU11" s="401"/>
      <c r="CV11" s="401"/>
      <c r="CW11" s="401"/>
      <c r="CX11" s="401"/>
      <c r="CY11" s="401"/>
      <c r="CZ11" s="401"/>
      <c r="DA11" s="401"/>
      <c r="DB11" s="401"/>
      <c r="DC11" s="401"/>
      <c r="DD11" s="401"/>
      <c r="DE11" s="401"/>
      <c r="DF11" s="401"/>
      <c r="DG11" s="401"/>
      <c r="DH11" s="401"/>
      <c r="DI11" s="401"/>
      <c r="DJ11" s="401"/>
      <c r="DK11" s="401"/>
      <c r="DL11" s="401"/>
      <c r="DM11" s="401"/>
      <c r="DN11" s="401"/>
      <c r="DO11" s="401"/>
      <c r="DP11" s="401"/>
      <c r="DQ11" s="401"/>
      <c r="DR11" s="401"/>
      <c r="DS11" s="401"/>
      <c r="DT11" s="401"/>
    </row>
    <row r="12" spans="1:124" ht="14.25">
      <c r="A12" s="576" t="s">
        <v>11</v>
      </c>
      <c r="B12" s="577">
        <v>1</v>
      </c>
      <c r="C12" s="578" t="s">
        <v>219</v>
      </c>
      <c r="D12" s="549" t="b">
        <f>qpumpe_bp_zw-qpumpe_bp_f1&lt;0</f>
        <v>0</v>
      </c>
      <c r="E12" s="579" t="b">
        <f>qpumpe_bp_zw-qmax_f1&lt;0</f>
        <v>0</v>
      </c>
      <c r="F12" s="580">
        <f>IF(fhoehe&lt;=hmin_f1,qmax_f1,IF(fhoehe&lt;=7.4,(fhoehe-13.522)/(-0.4772),(fhoehe*1-11.968)/(-0.3502)))</f>
        <v>24</v>
      </c>
      <c r="G12" s="581" t="e">
        <f>fhoehe_bp_f1-fhoehe&gt;0</f>
        <v>#VALUE!</v>
      </c>
      <c r="H12" s="582" t="e">
        <f t="shared" ref="H12:H18" si="3">AND(D12,E12,G12)</f>
        <v>#VALUE!</v>
      </c>
      <c r="I12" s="583">
        <f>B12</f>
        <v>1</v>
      </c>
      <c r="J12" s="584"/>
      <c r="K12" s="562" t="str">
        <f>fmenge</f>
        <v/>
      </c>
      <c r="L12" s="563" t="e">
        <f>fh_geo+(zeta_gesamt*(4*fmenge/((dn*10^(-3))^2*PI())/3600)^2/(2*9.81))</f>
        <v>#VALUE!</v>
      </c>
      <c r="M12" s="401"/>
      <c r="N12" s="401"/>
      <c r="O12" s="567">
        <v>8</v>
      </c>
      <c r="P12" s="550" t="e">
        <f t="shared" si="0"/>
        <v>#VALUE!</v>
      </c>
      <c r="Q12" s="551" t="e">
        <f t="shared" si="1"/>
        <v>#VALUE!</v>
      </c>
      <c r="R12" s="401"/>
      <c r="S12" s="401"/>
      <c r="T12" s="401"/>
      <c r="U12" s="401"/>
      <c r="V12" s="401"/>
      <c r="W12" s="402"/>
      <c r="AH12" s="401"/>
      <c r="AI12" s="401"/>
      <c r="AJ12" s="401"/>
      <c r="AK12" s="401"/>
      <c r="AL12" s="401"/>
      <c r="AM12" s="401"/>
      <c r="AN12" s="401"/>
      <c r="AO12" s="401"/>
      <c r="AP12" s="401"/>
      <c r="AQ12" s="401"/>
      <c r="AR12" s="401"/>
      <c r="AS12" s="401"/>
      <c r="AT12" s="401"/>
      <c r="AU12" s="401"/>
      <c r="AV12" s="401"/>
      <c r="AW12" s="401"/>
      <c r="AX12" s="401"/>
      <c r="AY12" s="401"/>
      <c r="AZ12" s="401"/>
      <c r="BA12" s="401"/>
      <c r="BB12" s="401"/>
      <c r="BC12" s="401"/>
      <c r="BD12" s="401"/>
      <c r="BE12" s="401"/>
      <c r="BF12" s="401"/>
      <c r="BG12" s="401"/>
      <c r="BH12" s="401"/>
      <c r="BI12" s="401"/>
      <c r="BJ12" s="401"/>
      <c r="BK12" s="401"/>
      <c r="BL12" s="401"/>
      <c r="BM12" s="401"/>
      <c r="BN12" s="401"/>
      <c r="BO12" s="401"/>
      <c r="BP12" s="401"/>
      <c r="BQ12" s="401"/>
      <c r="BR12" s="401"/>
      <c r="BS12" s="401"/>
      <c r="BT12" s="401"/>
      <c r="BU12" s="401"/>
      <c r="BV12" s="401"/>
      <c r="BW12" s="401"/>
      <c r="BX12" s="401"/>
      <c r="BY12" s="401"/>
      <c r="BZ12" s="401"/>
      <c r="CA12" s="401"/>
      <c r="CB12" s="401"/>
      <c r="CC12" s="401"/>
      <c r="CD12" s="401"/>
      <c r="CE12" s="401"/>
      <c r="CF12" s="401"/>
      <c r="CG12" s="401"/>
      <c r="CH12" s="401"/>
      <c r="CI12" s="401"/>
      <c r="CJ12" s="401"/>
      <c r="CK12" s="401"/>
      <c r="CL12" s="401"/>
      <c r="CM12" s="401"/>
      <c r="CN12" s="401"/>
      <c r="CO12" s="401"/>
      <c r="CP12" s="401"/>
      <c r="CQ12" s="401"/>
      <c r="CR12" s="401"/>
      <c r="CS12" s="401"/>
      <c r="CT12" s="401"/>
      <c r="CU12" s="401"/>
      <c r="CV12" s="401"/>
      <c r="CW12" s="401"/>
      <c r="CX12" s="401"/>
      <c r="CY12" s="401"/>
      <c r="CZ12" s="401"/>
      <c r="DA12" s="401"/>
      <c r="DB12" s="401"/>
      <c r="DC12" s="401"/>
      <c r="DD12" s="401"/>
      <c r="DE12" s="401"/>
      <c r="DF12" s="401"/>
      <c r="DG12" s="401"/>
      <c r="DH12" s="401"/>
      <c r="DI12" s="401"/>
      <c r="DJ12" s="401"/>
      <c r="DK12" s="401"/>
      <c r="DL12" s="401"/>
      <c r="DM12" s="401"/>
      <c r="DN12" s="401"/>
      <c r="DO12" s="401"/>
      <c r="DP12" s="401"/>
      <c r="DQ12" s="401"/>
      <c r="DR12" s="401"/>
      <c r="DS12" s="401"/>
      <c r="DT12" s="401"/>
    </row>
    <row r="13" spans="1:124">
      <c r="A13" s="554" t="s">
        <v>12</v>
      </c>
      <c r="B13" s="555">
        <v>2</v>
      </c>
      <c r="C13" s="585" t="s">
        <v>218</v>
      </c>
      <c r="D13" s="563" t="b">
        <f>qpumpe_bp_zw-qpumpe_bp_f2&lt;0</f>
        <v>1</v>
      </c>
      <c r="E13" s="586" t="b">
        <f>qpumpe_bp_zw-qmax_f2&lt;0</f>
        <v>1</v>
      </c>
      <c r="F13" s="587">
        <f>IF(fhoehe&lt;=hmin_f2,qmax_f2,IF(fhoehe&lt;=8.5,(fhoehe*1-16.807)/(-0.4149),(fhoehe-15.385)/(-0.3404)))</f>
        <v>34</v>
      </c>
      <c r="G13" s="587" t="e">
        <f>fhoehe_bp_f2-fhoehe&gt;0</f>
        <v>#VALUE!</v>
      </c>
      <c r="H13" s="588" t="e">
        <f t="shared" si="3"/>
        <v>#VALUE!</v>
      </c>
      <c r="I13" s="583">
        <f>B13</f>
        <v>2</v>
      </c>
      <c r="J13" s="561" t="s">
        <v>58</v>
      </c>
      <c r="K13" s="548" t="str">
        <f>fmenge</f>
        <v/>
      </c>
      <c r="L13" s="549">
        <v>0</v>
      </c>
      <c r="M13" s="401"/>
      <c r="N13" s="401"/>
      <c r="O13" s="567">
        <v>9</v>
      </c>
      <c r="P13" s="550" t="e">
        <f t="shared" si="0"/>
        <v>#VALUE!</v>
      </c>
      <c r="Q13" s="551" t="e">
        <f t="shared" si="1"/>
        <v>#VALUE!</v>
      </c>
      <c r="R13" s="401"/>
      <c r="S13" s="401"/>
      <c r="T13" s="401"/>
      <c r="U13" s="401"/>
      <c r="V13" s="401"/>
      <c r="W13" s="589"/>
      <c r="AH13" s="401"/>
      <c r="AI13" s="401"/>
      <c r="AJ13" s="401"/>
      <c r="AK13" s="401"/>
      <c r="AL13" s="401"/>
      <c r="AM13" s="401"/>
      <c r="AN13" s="401"/>
      <c r="AO13" s="401"/>
      <c r="AP13" s="401"/>
      <c r="AQ13" s="401"/>
      <c r="AR13" s="401"/>
      <c r="AS13" s="401"/>
      <c r="AT13" s="401"/>
      <c r="AU13" s="401"/>
      <c r="AV13" s="401"/>
      <c r="AW13" s="401"/>
      <c r="AX13" s="401"/>
      <c r="AY13" s="401"/>
      <c r="AZ13" s="401"/>
      <c r="BA13" s="401"/>
      <c r="BB13" s="401"/>
      <c r="BC13" s="401"/>
      <c r="BD13" s="401"/>
      <c r="BE13" s="401"/>
      <c r="BF13" s="401"/>
      <c r="BG13" s="401"/>
      <c r="BH13" s="401"/>
      <c r="BI13" s="401"/>
      <c r="BJ13" s="401"/>
      <c r="BK13" s="401"/>
      <c r="BL13" s="401"/>
      <c r="BM13" s="401"/>
      <c r="BN13" s="401"/>
      <c r="BO13" s="401"/>
      <c r="BP13" s="401"/>
      <c r="BQ13" s="401"/>
      <c r="BR13" s="401"/>
      <c r="BS13" s="401"/>
      <c r="BT13" s="401"/>
      <c r="BU13" s="401"/>
      <c r="BV13" s="401"/>
      <c r="BW13" s="401"/>
      <c r="BX13" s="401"/>
      <c r="BY13" s="401"/>
      <c r="BZ13" s="401"/>
      <c r="CA13" s="401"/>
      <c r="CB13" s="401"/>
      <c r="CC13" s="401"/>
      <c r="CD13" s="401"/>
      <c r="CE13" s="401"/>
      <c r="CF13" s="401"/>
      <c r="CG13" s="401"/>
      <c r="CH13" s="401"/>
      <c r="CI13" s="401"/>
      <c r="CJ13" s="401"/>
      <c r="CK13" s="401"/>
      <c r="CL13" s="401"/>
      <c r="CM13" s="401"/>
      <c r="CN13" s="401"/>
      <c r="CO13" s="401"/>
      <c r="CP13" s="401"/>
      <c r="CQ13" s="401"/>
      <c r="CR13" s="401"/>
      <c r="CS13" s="401"/>
      <c r="CT13" s="401"/>
      <c r="CU13" s="401"/>
      <c r="CV13" s="401"/>
      <c r="CW13" s="401"/>
      <c r="CX13" s="401"/>
      <c r="CY13" s="401"/>
      <c r="CZ13" s="401"/>
      <c r="DA13" s="401"/>
      <c r="DB13" s="401"/>
      <c r="DC13" s="401"/>
      <c r="DD13" s="401"/>
      <c r="DE13" s="401"/>
      <c r="DF13" s="401"/>
      <c r="DG13" s="401"/>
      <c r="DH13" s="401"/>
      <c r="DI13" s="401"/>
      <c r="DJ13" s="401"/>
      <c r="DK13" s="401"/>
      <c r="DL13" s="401"/>
      <c r="DM13" s="401"/>
      <c r="DN13" s="401"/>
      <c r="DO13" s="401"/>
      <c r="DP13" s="401"/>
      <c r="DQ13" s="401"/>
      <c r="DR13" s="401"/>
      <c r="DS13" s="401"/>
      <c r="DT13" s="401"/>
    </row>
    <row r="14" spans="1:124" ht="15">
      <c r="A14" s="554" t="s">
        <v>13</v>
      </c>
      <c r="B14" s="555">
        <v>3</v>
      </c>
      <c r="C14" s="585" t="s">
        <v>376</v>
      </c>
      <c r="D14" s="563" t="b">
        <f>qpumpe_bp_zw-qpumpe_bp_f3&lt;0</f>
        <v>1</v>
      </c>
      <c r="E14" s="586" t="b">
        <f>qpumpe_bp_zw-qmax_f3&lt;0</f>
        <v>1</v>
      </c>
      <c r="F14" s="590">
        <f>IF(fhoehe&lt;=hmin_f3,qmax_f3,(fhoehe-13.665)/(-0.1816))</f>
        <v>55</v>
      </c>
      <c r="G14" s="587" t="e">
        <f>fhoehe_bp_f3-fhoehe&gt;0</f>
        <v>#VALUE!</v>
      </c>
      <c r="H14" s="588" t="e">
        <f t="shared" si="3"/>
        <v>#VALUE!</v>
      </c>
      <c r="I14" s="583">
        <f>B14</f>
        <v>3</v>
      </c>
      <c r="J14" s="584"/>
      <c r="K14" s="591" t="str">
        <f>fmenge</f>
        <v/>
      </c>
      <c r="L14" s="592" t="e">
        <f>MAX(Q5:Q13)</f>
        <v>#VALUE!</v>
      </c>
      <c r="M14" s="401"/>
      <c r="N14" s="401"/>
      <c r="O14" s="567">
        <v>10</v>
      </c>
      <c r="P14" s="550" t="e">
        <f t="shared" si="0"/>
        <v>#VALUE!</v>
      </c>
      <c r="Q14" s="551" t="e">
        <f t="shared" si="1"/>
        <v>#VALUE!</v>
      </c>
      <c r="U14" s="401"/>
      <c r="V14" s="401"/>
      <c r="W14" s="593"/>
      <c r="AH14" s="401"/>
      <c r="AI14" s="401"/>
      <c r="AJ14" s="401"/>
      <c r="AK14" s="401"/>
      <c r="AL14" s="401"/>
      <c r="AM14" s="401"/>
      <c r="AN14" s="401"/>
      <c r="AO14" s="401"/>
      <c r="AP14" s="401"/>
      <c r="AQ14" s="401"/>
      <c r="AR14" s="401"/>
      <c r="AS14" s="401"/>
      <c r="AT14" s="401"/>
      <c r="AU14" s="401"/>
      <c r="AV14" s="401"/>
      <c r="AW14" s="401"/>
      <c r="AX14" s="401"/>
      <c r="AY14" s="401"/>
      <c r="AZ14" s="401"/>
      <c r="BA14" s="401"/>
      <c r="BB14" s="401"/>
      <c r="BC14" s="401"/>
      <c r="BD14" s="401"/>
      <c r="BE14" s="401"/>
      <c r="BF14" s="401"/>
      <c r="BG14" s="401"/>
      <c r="BH14" s="401"/>
      <c r="BI14" s="401"/>
      <c r="BJ14" s="401"/>
      <c r="BK14" s="401"/>
      <c r="BL14" s="401"/>
      <c r="BM14" s="401"/>
      <c r="BN14" s="401"/>
      <c r="BO14" s="401"/>
      <c r="BP14" s="401"/>
      <c r="BQ14" s="401"/>
      <c r="BR14" s="401"/>
      <c r="BS14" s="401"/>
      <c r="BT14" s="401"/>
      <c r="BU14" s="401"/>
      <c r="BV14" s="401"/>
      <c r="BW14" s="401"/>
      <c r="BX14" s="401"/>
      <c r="BY14" s="401"/>
      <c r="BZ14" s="401"/>
      <c r="CA14" s="401"/>
      <c r="CB14" s="401"/>
      <c r="CC14" s="401"/>
      <c r="CD14" s="401"/>
      <c r="CE14" s="401"/>
      <c r="CF14" s="401"/>
      <c r="CG14" s="401"/>
      <c r="CH14" s="401"/>
      <c r="CI14" s="401"/>
      <c r="CJ14" s="401"/>
      <c r="CK14" s="401"/>
      <c r="CL14" s="401"/>
      <c r="CM14" s="401"/>
      <c r="CN14" s="401"/>
      <c r="CO14" s="401"/>
      <c r="CP14" s="401"/>
      <c r="CQ14" s="401"/>
      <c r="CR14" s="401"/>
      <c r="CS14" s="401"/>
      <c r="CT14" s="401"/>
      <c r="CU14" s="401"/>
      <c r="CV14" s="401"/>
      <c r="CW14" s="401"/>
      <c r="CX14" s="401"/>
      <c r="CY14" s="401"/>
      <c r="CZ14" s="401"/>
      <c r="DA14" s="401"/>
      <c r="DB14" s="401"/>
      <c r="DC14" s="401"/>
      <c r="DD14" s="401"/>
      <c r="DE14" s="401"/>
      <c r="DF14" s="401"/>
      <c r="DG14" s="401"/>
      <c r="DH14" s="401"/>
      <c r="DI14" s="401"/>
      <c r="DJ14" s="401"/>
      <c r="DK14" s="401"/>
      <c r="DL14" s="401"/>
      <c r="DM14" s="401"/>
      <c r="DN14" s="401"/>
      <c r="DO14" s="401"/>
      <c r="DP14" s="401"/>
      <c r="DQ14" s="401"/>
      <c r="DR14" s="401"/>
      <c r="DS14" s="401"/>
      <c r="DT14" s="401"/>
    </row>
    <row r="15" spans="1:124" ht="15">
      <c r="A15" s="554" t="s">
        <v>14</v>
      </c>
      <c r="B15" s="555">
        <v>4</v>
      </c>
      <c r="C15" s="585" t="s">
        <v>378</v>
      </c>
      <c r="D15" s="594" t="b">
        <f>qpumpe_bp_zw-qpumpe_bp_f4&lt;0</f>
        <v>1</v>
      </c>
      <c r="E15" s="586" t="b">
        <f>qpumpe_bp_zw-qmax_f4&lt;0</f>
        <v>1</v>
      </c>
      <c r="F15" s="587">
        <f>IF(fhoehe&lt;=hmin_f4,qmax_f4,(fhoehe-17.443)/(-0.2137))</f>
        <v>60</v>
      </c>
      <c r="G15" s="587" t="e">
        <f>fhoehe_bp_f4-fhoehe&gt;0</f>
        <v>#VALUE!</v>
      </c>
      <c r="H15" s="595" t="e">
        <f t="shared" si="3"/>
        <v>#VALUE!</v>
      </c>
      <c r="I15" s="583">
        <f>B15</f>
        <v>4</v>
      </c>
      <c r="J15" s="561" t="s">
        <v>75</v>
      </c>
      <c r="K15" s="548">
        <f>0</f>
        <v>0</v>
      </c>
      <c r="L15" s="549">
        <f>fh_geo</f>
        <v>0</v>
      </c>
      <c r="M15" s="401"/>
      <c r="N15" s="401"/>
      <c r="O15" s="567">
        <v>11</v>
      </c>
      <c r="P15" s="550" t="e">
        <f t="shared" si="0"/>
        <v>#VALUE!</v>
      </c>
      <c r="Q15" s="551" t="e">
        <f t="shared" si="1"/>
        <v>#VALUE!</v>
      </c>
      <c r="R15" s="401"/>
      <c r="S15" s="401"/>
      <c r="T15" s="401"/>
      <c r="U15" s="401"/>
      <c r="V15" s="401"/>
      <c r="W15" s="596"/>
      <c r="AH15" s="401"/>
      <c r="AI15" s="401"/>
      <c r="AJ15" s="401"/>
      <c r="AK15" s="401"/>
      <c r="AL15" s="401"/>
      <c r="AM15" s="401"/>
      <c r="AN15" s="401"/>
      <c r="AO15" s="401"/>
      <c r="AP15" s="401"/>
      <c r="AQ15" s="401"/>
      <c r="AR15" s="401"/>
      <c r="AS15" s="401"/>
      <c r="AT15" s="401"/>
      <c r="AU15" s="401"/>
      <c r="AV15" s="401"/>
      <c r="AW15" s="401"/>
      <c r="AX15" s="401"/>
      <c r="AY15" s="401"/>
      <c r="AZ15" s="401"/>
      <c r="BA15" s="401"/>
      <c r="BB15" s="401"/>
      <c r="BC15" s="401"/>
      <c r="BD15" s="401"/>
      <c r="BE15" s="401"/>
      <c r="BF15" s="401"/>
      <c r="BG15" s="401"/>
      <c r="BH15" s="401"/>
      <c r="BI15" s="401"/>
      <c r="BJ15" s="401"/>
      <c r="BK15" s="401"/>
      <c r="BL15" s="401"/>
      <c r="BM15" s="401"/>
      <c r="BN15" s="401"/>
      <c r="BO15" s="401"/>
      <c r="BP15" s="401"/>
      <c r="BQ15" s="401"/>
      <c r="BR15" s="401"/>
      <c r="BS15" s="401"/>
      <c r="BT15" s="401"/>
      <c r="BU15" s="401"/>
      <c r="BV15" s="401"/>
      <c r="BW15" s="401"/>
      <c r="BX15" s="401"/>
      <c r="BY15" s="401"/>
      <c r="BZ15" s="401"/>
      <c r="CA15" s="401"/>
      <c r="CB15" s="401"/>
      <c r="CC15" s="401"/>
      <c r="CD15" s="401"/>
      <c r="CE15" s="401"/>
      <c r="CF15" s="401"/>
      <c r="CG15" s="401"/>
      <c r="CH15" s="401"/>
      <c r="CI15" s="401"/>
      <c r="CJ15" s="401"/>
      <c r="CK15" s="401"/>
      <c r="CL15" s="401"/>
      <c r="CM15" s="401"/>
      <c r="CN15" s="401"/>
      <c r="CO15" s="401"/>
      <c r="CP15" s="401"/>
      <c r="CQ15" s="401"/>
      <c r="CR15" s="401"/>
      <c r="CS15" s="401"/>
      <c r="CT15" s="401"/>
      <c r="CU15" s="401"/>
      <c r="CV15" s="401"/>
      <c r="CW15" s="401"/>
      <c r="CX15" s="401"/>
      <c r="CY15" s="401"/>
      <c r="CZ15" s="401"/>
      <c r="DA15" s="401"/>
      <c r="DB15" s="401"/>
      <c r="DC15" s="401"/>
      <c r="DD15" s="401"/>
      <c r="DE15" s="401"/>
      <c r="DF15" s="401"/>
      <c r="DG15" s="401"/>
      <c r="DH15" s="401"/>
      <c r="DI15" s="401"/>
      <c r="DJ15" s="401"/>
      <c r="DK15" s="401"/>
      <c r="DL15" s="401"/>
      <c r="DM15" s="401"/>
      <c r="DN15" s="401"/>
      <c r="DO15" s="401"/>
      <c r="DP15" s="401"/>
      <c r="DQ15" s="401"/>
      <c r="DR15" s="401"/>
      <c r="DS15" s="401"/>
      <c r="DT15" s="401"/>
    </row>
    <row r="16" spans="1:124" ht="15">
      <c r="A16" s="554" t="s">
        <v>123</v>
      </c>
      <c r="B16" s="555">
        <v>5</v>
      </c>
      <c r="C16" s="585" t="s">
        <v>380</v>
      </c>
      <c r="D16" s="594" t="b">
        <f>qpumpe_bp_zw-qpumpe_bp_f5&lt;0</f>
        <v>1</v>
      </c>
      <c r="E16" s="586" t="b">
        <f>qpumpe_bp_zw-qmax_f5&lt;0</f>
        <v>1</v>
      </c>
      <c r="F16" s="587">
        <f>IF(fhoehe&lt;=hmin_f5,qmax_f5,IF(fhoehe&lt;14.1,(fhoehe-27.582)/(-0.3188),IF(fhoehe&lt;=18,(fhoehe-25.452)/(-0.2717),IF(fhoehe&lt;=21,(fhoehe-23.589)/(-0.2028),(fhoehe-23.005)/(-0.1571)))))</f>
        <v>71.5</v>
      </c>
      <c r="G16" s="587" t="e">
        <f>fhoehe_bp_f5-fhoehe&gt;0</f>
        <v>#VALUE!</v>
      </c>
      <c r="H16" s="595" t="e">
        <f t="shared" si="3"/>
        <v>#VALUE!</v>
      </c>
      <c r="I16" s="583">
        <f>B16</f>
        <v>5</v>
      </c>
      <c r="J16" s="584"/>
      <c r="K16" s="591" t="e">
        <f>qpumpe_bp</f>
        <v>#VALUE!</v>
      </c>
      <c r="L16" s="597" t="e">
        <f>L12</f>
        <v>#VALUE!</v>
      </c>
      <c r="M16" s="401"/>
      <c r="N16" s="401"/>
      <c r="O16" s="567">
        <v>12</v>
      </c>
      <c r="P16" s="550" t="e">
        <f t="shared" si="0"/>
        <v>#VALUE!</v>
      </c>
      <c r="Q16" s="551" t="e">
        <f t="shared" si="1"/>
        <v>#VALUE!</v>
      </c>
      <c r="R16" s="401"/>
      <c r="S16" s="401"/>
      <c r="T16" s="401"/>
      <c r="U16" s="401"/>
      <c r="V16" s="401"/>
      <c r="W16" s="593"/>
      <c r="AH16" s="401"/>
      <c r="AI16" s="401"/>
      <c r="AJ16" s="401"/>
      <c r="AK16" s="401"/>
      <c r="AL16" s="401"/>
      <c r="AM16" s="401"/>
      <c r="AN16" s="401"/>
      <c r="AO16" s="401"/>
      <c r="AP16" s="401"/>
      <c r="AQ16" s="401"/>
      <c r="AR16" s="401"/>
      <c r="AS16" s="401"/>
      <c r="AT16" s="401"/>
      <c r="AU16" s="401"/>
      <c r="AV16" s="401"/>
      <c r="AW16" s="401"/>
      <c r="AX16" s="401"/>
      <c r="AY16" s="401"/>
      <c r="AZ16" s="401"/>
      <c r="BA16" s="401"/>
      <c r="BB16" s="401"/>
      <c r="BC16" s="401"/>
      <c r="BD16" s="401"/>
      <c r="BE16" s="401"/>
      <c r="BF16" s="401"/>
      <c r="BG16" s="401"/>
      <c r="BH16" s="401"/>
      <c r="BI16" s="401"/>
      <c r="BJ16" s="401"/>
      <c r="BK16" s="401"/>
      <c r="BL16" s="401"/>
      <c r="BM16" s="401"/>
      <c r="BN16" s="401"/>
      <c r="BO16" s="401"/>
      <c r="BP16" s="401"/>
      <c r="BQ16" s="401"/>
      <c r="BR16" s="401"/>
      <c r="BS16" s="401"/>
      <c r="BT16" s="401"/>
      <c r="BU16" s="401"/>
      <c r="BV16" s="401"/>
      <c r="BW16" s="401"/>
      <c r="BX16" s="401"/>
      <c r="BY16" s="401"/>
      <c r="BZ16" s="401"/>
      <c r="CA16" s="401"/>
      <c r="CB16" s="401"/>
      <c r="CC16" s="401"/>
      <c r="CD16" s="401"/>
      <c r="CE16" s="401"/>
      <c r="CF16" s="401"/>
      <c r="CG16" s="401"/>
      <c r="CH16" s="401"/>
      <c r="CI16" s="401"/>
      <c r="CJ16" s="401"/>
      <c r="CK16" s="401"/>
      <c r="CL16" s="401"/>
      <c r="CM16" s="401"/>
      <c r="CN16" s="401"/>
      <c r="CO16" s="401"/>
      <c r="CP16" s="401"/>
      <c r="CQ16" s="401"/>
      <c r="CR16" s="401"/>
      <c r="CS16" s="401"/>
      <c r="CT16" s="401"/>
      <c r="CU16" s="401"/>
      <c r="CV16" s="401"/>
      <c r="CW16" s="401"/>
      <c r="CX16" s="401"/>
      <c r="CY16" s="401"/>
      <c r="CZ16" s="401"/>
      <c r="DA16" s="401"/>
      <c r="DB16" s="401"/>
      <c r="DC16" s="401"/>
      <c r="DD16" s="401"/>
      <c r="DE16" s="401"/>
      <c r="DF16" s="401"/>
      <c r="DG16" s="401"/>
      <c r="DH16" s="401"/>
      <c r="DI16" s="401"/>
      <c r="DJ16" s="401"/>
      <c r="DK16" s="401"/>
      <c r="DL16" s="401"/>
      <c r="DM16" s="401"/>
      <c r="DN16" s="401"/>
      <c r="DO16" s="401"/>
      <c r="DP16" s="401"/>
      <c r="DQ16" s="401"/>
      <c r="DR16" s="401"/>
      <c r="DS16" s="401"/>
      <c r="DT16" s="401"/>
    </row>
    <row r="17" spans="1:124" ht="15">
      <c r="A17" s="554" t="s">
        <v>741</v>
      </c>
      <c r="B17" s="555" t="s">
        <v>748</v>
      </c>
      <c r="C17" s="585" t="s">
        <v>778</v>
      </c>
      <c r="D17" s="594" t="b">
        <f>qpumpe_bp_zw-qpumpe_bp_s1&lt;0</f>
        <v>0</v>
      </c>
      <c r="E17" s="586" t="b">
        <f>qpumpe_bp_zw-qmax_s1&lt;0</f>
        <v>0</v>
      </c>
      <c r="F17" s="587">
        <f>IF(fhoehe&lt;=hmin_s1,qmax_s1,IF(fhoehe&lt;=8.1,(fhoehe-21.047)/(-1.3069),IF(fhoehe&lt;=13,(fhoehe-19.219)/(-1.1213),IF(fhoehe&lt;=16.1,(fhoehe-18.269)/(-0.9535),(fhoehe-17.964)/(-0.8204)))))</f>
        <v>14</v>
      </c>
      <c r="G17" s="587" t="e">
        <f>fhoehe_bp_s1-fhoehe&gt;0</f>
        <v>#VALUE!</v>
      </c>
      <c r="H17" s="595" t="e">
        <f t="shared" si="3"/>
        <v>#VALUE!</v>
      </c>
      <c r="I17" s="598" t="s">
        <v>737</v>
      </c>
      <c r="J17" s="599" t="str">
        <f>CONCATENATE(meldung_52," ",dn)</f>
        <v>Qmin für DN 80</v>
      </c>
      <c r="K17" s="600"/>
      <c r="L17" s="600">
        <f>dn</f>
        <v>80</v>
      </c>
      <c r="M17" s="401"/>
      <c r="N17" s="401"/>
      <c r="O17" s="567">
        <v>13</v>
      </c>
      <c r="P17" s="550" t="e">
        <f t="shared" si="0"/>
        <v>#VALUE!</v>
      </c>
      <c r="Q17" s="551" t="e">
        <f t="shared" si="1"/>
        <v>#VALUE!</v>
      </c>
      <c r="R17" s="401"/>
      <c r="S17" s="401"/>
      <c r="T17" s="401"/>
      <c r="U17" s="401"/>
      <c r="V17" s="401"/>
      <c r="W17" s="569"/>
      <c r="AH17" s="401"/>
      <c r="AI17" s="401"/>
      <c r="AJ17" s="401"/>
      <c r="AK17" s="401"/>
      <c r="AL17" s="401"/>
      <c r="AM17" s="401"/>
      <c r="AN17" s="401"/>
      <c r="AO17" s="401"/>
      <c r="AP17" s="401"/>
      <c r="AQ17" s="401"/>
      <c r="AR17" s="401"/>
      <c r="AS17" s="401"/>
      <c r="AT17" s="401"/>
      <c r="AU17" s="401"/>
      <c r="AV17" s="401"/>
      <c r="AW17" s="401"/>
      <c r="AX17" s="401"/>
      <c r="AY17" s="401"/>
      <c r="AZ17" s="401"/>
      <c r="BA17" s="401"/>
      <c r="BB17" s="401"/>
      <c r="BC17" s="401"/>
      <c r="BD17" s="401"/>
      <c r="BE17" s="401"/>
      <c r="BF17" s="401"/>
      <c r="BG17" s="401"/>
      <c r="BH17" s="401"/>
      <c r="BI17" s="401"/>
      <c r="BJ17" s="401"/>
      <c r="BK17" s="401"/>
      <c r="BL17" s="401"/>
      <c r="BM17" s="401"/>
      <c r="BN17" s="401"/>
      <c r="BO17" s="401"/>
      <c r="BP17" s="401"/>
      <c r="BQ17" s="401"/>
      <c r="BR17" s="401"/>
      <c r="BS17" s="401"/>
      <c r="BT17" s="401"/>
      <c r="BU17" s="401"/>
      <c r="BV17" s="401"/>
      <c r="BW17" s="401"/>
      <c r="BX17" s="401"/>
      <c r="BY17" s="401"/>
      <c r="BZ17" s="401"/>
      <c r="CA17" s="401"/>
      <c r="CB17" s="401"/>
      <c r="CC17" s="401"/>
      <c r="CD17" s="401"/>
      <c r="CE17" s="401"/>
      <c r="CF17" s="401"/>
      <c r="CG17" s="401"/>
      <c r="CH17" s="401"/>
      <c r="CI17" s="401"/>
      <c r="CJ17" s="401"/>
      <c r="CK17" s="401"/>
      <c r="CL17" s="401"/>
      <c r="CM17" s="401"/>
      <c r="CN17" s="401"/>
      <c r="CO17" s="401"/>
      <c r="CP17" s="401"/>
      <c r="CQ17" s="401"/>
      <c r="CR17" s="401"/>
      <c r="CS17" s="401"/>
      <c r="CT17" s="401"/>
      <c r="CU17" s="401"/>
      <c r="CV17" s="401"/>
      <c r="CW17" s="401"/>
      <c r="CX17" s="401"/>
      <c r="CY17" s="401"/>
      <c r="CZ17" s="401"/>
      <c r="DA17" s="401"/>
      <c r="DB17" s="401"/>
      <c r="DC17" s="401"/>
      <c r="DD17" s="401"/>
      <c r="DE17" s="401"/>
      <c r="DF17" s="401"/>
      <c r="DG17" s="401"/>
      <c r="DH17" s="401"/>
      <c r="DI17" s="401"/>
      <c r="DJ17" s="401"/>
      <c r="DK17" s="401"/>
      <c r="DL17" s="401"/>
      <c r="DM17" s="401"/>
      <c r="DN17" s="401"/>
      <c r="DO17" s="401"/>
      <c r="DP17" s="401"/>
      <c r="DQ17" s="401"/>
      <c r="DR17" s="401"/>
      <c r="DS17" s="401"/>
      <c r="DT17" s="401"/>
    </row>
    <row r="18" spans="1:124" ht="14.25">
      <c r="A18" s="554" t="s">
        <v>742</v>
      </c>
      <c r="B18" s="555" t="s">
        <v>749</v>
      </c>
      <c r="C18" s="585" t="s">
        <v>777</v>
      </c>
      <c r="D18" s="594" t="b">
        <f>qpumpe_bp_zw-qpumpe_bp_s2&lt;0</f>
        <v>0</v>
      </c>
      <c r="E18" s="586" t="b">
        <f>qpumpe_bp_zw-qmax_s2&lt;0</f>
        <v>0</v>
      </c>
      <c r="F18" s="587">
        <f>IF(fhoehe&lt;=hmin_s2,qmax_s2,IF(fhoehe&lt;=11.8,(fhoehe-36.774)/(-2.2561),IF(fhoehe&lt;17.6,(fhoehe-31.2)/(-1.752),IF(fhoehe&lt;21.8,(fhoehe-27.566)/(-1.2802),IF(fhoehe&lt;=23.8,(fhoehe-26.009)/(-0.9655),(fhoehe-25.1)/(-0.5327))))))</f>
        <v>14.7</v>
      </c>
      <c r="G18" s="601" t="e">
        <f>fhoehe_bp_s2-fhoehe&gt;0</f>
        <v>#VALUE!</v>
      </c>
      <c r="H18" s="602" t="e">
        <f t="shared" si="3"/>
        <v>#VALUE!</v>
      </c>
      <c r="I18" s="598" t="s">
        <v>738</v>
      </c>
      <c r="J18" s="401"/>
      <c r="K18" s="534" t="s">
        <v>66</v>
      </c>
      <c r="L18" s="535" t="s">
        <v>54</v>
      </c>
      <c r="M18" s="401"/>
      <c r="N18" s="401"/>
      <c r="O18" s="567">
        <v>14</v>
      </c>
      <c r="P18" s="550" t="e">
        <f t="shared" si="0"/>
        <v>#VALUE!</v>
      </c>
      <c r="Q18" s="551" t="e">
        <f t="shared" si="1"/>
        <v>#VALUE!</v>
      </c>
      <c r="R18" s="401"/>
      <c r="S18" s="401"/>
      <c r="T18" s="401"/>
      <c r="U18" s="401"/>
      <c r="V18" s="401"/>
      <c r="W18" s="603"/>
      <c r="AH18" s="401"/>
      <c r="AI18" s="401"/>
      <c r="AJ18" s="401"/>
      <c r="AK18" s="401"/>
      <c r="AL18" s="401"/>
      <c r="AM18" s="401"/>
      <c r="AN18" s="401"/>
      <c r="AO18" s="401"/>
      <c r="AP18" s="401"/>
      <c r="AQ18" s="401"/>
      <c r="AR18" s="401"/>
      <c r="AS18" s="401"/>
      <c r="AT18" s="401"/>
      <c r="AU18" s="401"/>
      <c r="AV18" s="401"/>
      <c r="AW18" s="401"/>
      <c r="AX18" s="401"/>
      <c r="AY18" s="401"/>
      <c r="AZ18" s="401"/>
      <c r="BA18" s="401"/>
      <c r="BB18" s="401"/>
      <c r="BC18" s="401"/>
      <c r="BD18" s="401"/>
      <c r="BE18" s="401"/>
      <c r="BF18" s="401"/>
      <c r="BG18" s="401"/>
      <c r="BH18" s="401"/>
      <c r="BI18" s="401"/>
      <c r="BJ18" s="401"/>
      <c r="BK18" s="401"/>
      <c r="BL18" s="401"/>
      <c r="BM18" s="401"/>
      <c r="BN18" s="401"/>
      <c r="BO18" s="401"/>
      <c r="BP18" s="401"/>
      <c r="BQ18" s="401"/>
      <c r="BR18" s="401"/>
      <c r="BS18" s="401"/>
      <c r="BT18" s="401"/>
      <c r="BU18" s="401"/>
      <c r="BV18" s="401"/>
      <c r="BW18" s="401"/>
      <c r="BX18" s="401"/>
      <c r="BY18" s="401"/>
      <c r="BZ18" s="401"/>
      <c r="CA18" s="401"/>
      <c r="CB18" s="401"/>
      <c r="CC18" s="401"/>
      <c r="CD18" s="401"/>
      <c r="CE18" s="401"/>
      <c r="CF18" s="401"/>
      <c r="CG18" s="401"/>
      <c r="CH18" s="401"/>
      <c r="CI18" s="401"/>
      <c r="CJ18" s="401"/>
      <c r="CK18" s="401"/>
      <c r="CL18" s="401"/>
      <c r="CM18" s="401"/>
      <c r="CN18" s="401"/>
      <c r="CO18" s="401"/>
      <c r="CP18" s="401"/>
      <c r="CQ18" s="401"/>
      <c r="CR18" s="401"/>
      <c r="CS18" s="401"/>
      <c r="CT18" s="401"/>
      <c r="CU18" s="401"/>
      <c r="CV18" s="401"/>
      <c r="CW18" s="401"/>
      <c r="CX18" s="401"/>
      <c r="CY18" s="401"/>
      <c r="CZ18" s="401"/>
      <c r="DA18" s="401"/>
      <c r="DB18" s="401"/>
      <c r="DC18" s="401"/>
      <c r="DD18" s="401"/>
      <c r="DE18" s="401"/>
      <c r="DF18" s="401"/>
      <c r="DG18" s="401"/>
      <c r="DH18" s="401"/>
      <c r="DI18" s="401"/>
      <c r="DJ18" s="401"/>
      <c r="DK18" s="401"/>
      <c r="DL18" s="401"/>
      <c r="DM18" s="401"/>
      <c r="DN18" s="401"/>
      <c r="DO18" s="401"/>
      <c r="DP18" s="401"/>
      <c r="DQ18" s="401"/>
      <c r="DR18" s="401"/>
      <c r="DS18" s="401"/>
      <c r="DT18" s="401"/>
    </row>
    <row r="19" spans="1:124" ht="14.25">
      <c r="A19" s="604" t="s">
        <v>15</v>
      </c>
      <c r="B19" s="604"/>
      <c r="C19" s="605" t="s">
        <v>16</v>
      </c>
      <c r="D19" s="606">
        <f>IF(fhoehe&gt;I3,meldung_72,IF(fhoehe&gt;I2,C3,C2))</f>
        <v>0</v>
      </c>
      <c r="E19" s="607"/>
      <c r="F19" s="608"/>
      <c r="G19" s="401"/>
      <c r="H19" s="401"/>
      <c r="I19" s="598"/>
      <c r="J19" s="401">
        <v>1</v>
      </c>
      <c r="K19" s="609">
        <f>VLOOKUP(dn,qmin_qmax_dn,3,1)</f>
        <v>12.6</v>
      </c>
      <c r="L19" s="528">
        <f>L13</f>
        <v>0</v>
      </c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610"/>
      <c r="AH19" s="401"/>
      <c r="AI19" s="401"/>
      <c r="AJ19" s="401"/>
      <c r="AK19" s="401"/>
      <c r="AL19" s="401"/>
      <c r="AM19" s="401"/>
      <c r="AN19" s="401"/>
      <c r="AO19" s="401"/>
      <c r="AP19" s="401"/>
      <c r="AQ19" s="401"/>
      <c r="AR19" s="401"/>
      <c r="AS19" s="401"/>
      <c r="AT19" s="401"/>
      <c r="AU19" s="401"/>
      <c r="AV19" s="401"/>
      <c r="AW19" s="401"/>
      <c r="AX19" s="401"/>
      <c r="AY19" s="401"/>
      <c r="AZ19" s="401"/>
      <c r="BA19" s="401"/>
      <c r="BB19" s="401"/>
      <c r="BC19" s="401"/>
      <c r="BD19" s="401"/>
      <c r="BE19" s="401"/>
      <c r="BF19" s="401"/>
      <c r="BG19" s="401"/>
      <c r="BH19" s="401"/>
      <c r="BI19" s="401"/>
      <c r="BJ19" s="401"/>
      <c r="BK19" s="401"/>
      <c r="BL19" s="401"/>
      <c r="BM19" s="401"/>
      <c r="BN19" s="401"/>
      <c r="BO19" s="401"/>
      <c r="BP19" s="401"/>
      <c r="BQ19" s="401"/>
      <c r="BR19" s="401"/>
      <c r="BS19" s="401"/>
      <c r="BT19" s="401"/>
      <c r="BU19" s="401"/>
      <c r="BV19" s="401"/>
      <c r="BW19" s="401"/>
      <c r="BX19" s="401"/>
      <c r="BY19" s="401"/>
      <c r="BZ19" s="401"/>
      <c r="CA19" s="401"/>
      <c r="CB19" s="401"/>
      <c r="CC19" s="401"/>
      <c r="CD19" s="401"/>
      <c r="CE19" s="401"/>
      <c r="CF19" s="401"/>
      <c r="CG19" s="401"/>
      <c r="CH19" s="401"/>
      <c r="CI19" s="401"/>
      <c r="CJ19" s="401"/>
      <c r="CK19" s="401"/>
      <c r="CL19" s="401"/>
      <c r="CM19" s="401"/>
      <c r="CN19" s="401"/>
      <c r="CO19" s="401"/>
      <c r="CP19" s="401"/>
      <c r="CQ19" s="401"/>
      <c r="CR19" s="401"/>
      <c r="CS19" s="401"/>
      <c r="CT19" s="401"/>
      <c r="CU19" s="401"/>
      <c r="CV19" s="401"/>
      <c r="CW19" s="401"/>
      <c r="CX19" s="401"/>
      <c r="CY19" s="401"/>
      <c r="CZ19" s="401"/>
      <c r="DA19" s="401"/>
      <c r="DB19" s="401"/>
      <c r="DC19" s="401"/>
      <c r="DD19" s="401"/>
      <c r="DE19" s="401"/>
      <c r="DF19" s="401"/>
      <c r="DG19" s="401"/>
      <c r="DH19" s="401"/>
      <c r="DI19" s="401"/>
      <c r="DJ19" s="401"/>
      <c r="DK19" s="401"/>
      <c r="DL19" s="401"/>
      <c r="DM19" s="401"/>
      <c r="DN19" s="401"/>
      <c r="DO19" s="401"/>
      <c r="DP19" s="401"/>
      <c r="DQ19" s="401"/>
      <c r="DR19" s="401"/>
      <c r="DS19" s="401"/>
      <c r="DT19" s="401"/>
    </row>
    <row r="20" spans="1:124" ht="14.25">
      <c r="A20" s="401"/>
      <c r="B20" s="401"/>
      <c r="C20" s="611"/>
      <c r="D20" s="612" t="s">
        <v>17</v>
      </c>
      <c r="E20" s="612" t="s">
        <v>18</v>
      </c>
      <c r="F20" s="401"/>
      <c r="G20" s="401"/>
      <c r="H20" s="401"/>
      <c r="I20" s="598"/>
      <c r="J20" s="401">
        <v>2</v>
      </c>
      <c r="K20" s="609">
        <f>VLOOKUP(dn,qmin_qmax_dn,3,1)</f>
        <v>12.6</v>
      </c>
      <c r="L20" s="613" t="e">
        <f>L14</f>
        <v>#VALUE!</v>
      </c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603"/>
      <c r="AH20" s="401"/>
      <c r="AI20" s="401"/>
      <c r="AJ20" s="401"/>
      <c r="AK20" s="401"/>
      <c r="AL20" s="401"/>
      <c r="AM20" s="401"/>
      <c r="AN20" s="401"/>
      <c r="AO20" s="401"/>
      <c r="AP20" s="401"/>
      <c r="AQ20" s="401"/>
      <c r="AR20" s="401"/>
      <c r="AS20" s="401"/>
      <c r="AT20" s="401"/>
      <c r="AU20" s="401"/>
      <c r="AV20" s="401"/>
      <c r="AW20" s="401"/>
      <c r="AX20" s="401"/>
      <c r="AY20" s="401"/>
      <c r="AZ20" s="401"/>
      <c r="BA20" s="401"/>
      <c r="BB20" s="401"/>
      <c r="BC20" s="401"/>
      <c r="BD20" s="401"/>
      <c r="BE20" s="401"/>
      <c r="BF20" s="401"/>
      <c r="BG20" s="401"/>
      <c r="BH20" s="401"/>
      <c r="BI20" s="401"/>
      <c r="BJ20" s="401"/>
      <c r="BK20" s="401"/>
      <c r="BL20" s="401"/>
      <c r="BM20" s="401"/>
      <c r="BN20" s="401"/>
      <c r="BO20" s="401"/>
      <c r="BP20" s="401"/>
      <c r="BQ20" s="401"/>
      <c r="BR20" s="401"/>
      <c r="BS20" s="401"/>
      <c r="BT20" s="401"/>
      <c r="BU20" s="401"/>
      <c r="BV20" s="401"/>
      <c r="BW20" s="401"/>
      <c r="BX20" s="401"/>
      <c r="BY20" s="401"/>
      <c r="BZ20" s="401"/>
      <c r="CA20" s="401"/>
      <c r="CB20" s="401"/>
      <c r="CC20" s="401"/>
      <c r="CD20" s="401"/>
      <c r="CE20" s="401"/>
      <c r="CF20" s="401"/>
      <c r="CG20" s="401"/>
      <c r="CH20" s="401"/>
      <c r="CI20" s="401"/>
      <c r="CJ20" s="401"/>
      <c r="CK20" s="401"/>
      <c r="CL20" s="401"/>
      <c r="CM20" s="401"/>
      <c r="CN20" s="401"/>
      <c r="CO20" s="401"/>
      <c r="CP20" s="401"/>
      <c r="CQ20" s="401"/>
      <c r="CR20" s="401"/>
      <c r="CS20" s="401"/>
      <c r="CT20" s="401"/>
      <c r="CU20" s="401"/>
      <c r="CV20" s="401"/>
      <c r="CW20" s="401"/>
      <c r="CX20" s="401"/>
      <c r="CY20" s="401"/>
      <c r="CZ20" s="401"/>
      <c r="DA20" s="401"/>
      <c r="DB20" s="401"/>
      <c r="DC20" s="401"/>
      <c r="DD20" s="401"/>
      <c r="DE20" s="401"/>
      <c r="DF20" s="401"/>
      <c r="DG20" s="401"/>
      <c r="DH20" s="401"/>
      <c r="DI20" s="401"/>
      <c r="DJ20" s="401"/>
      <c r="DK20" s="401"/>
      <c r="DL20" s="401"/>
      <c r="DM20" s="401"/>
      <c r="DN20" s="401"/>
      <c r="DO20" s="401"/>
      <c r="DP20" s="401"/>
      <c r="DQ20" s="401"/>
      <c r="DR20" s="401"/>
      <c r="DS20" s="401"/>
      <c r="DT20" s="401"/>
    </row>
    <row r="21" spans="1:124" ht="15">
      <c r="A21" s="401"/>
      <c r="B21" s="401"/>
      <c r="C21" s="552" t="str">
        <f>CONCATENATE("Druckleitungslänge DN ",dn,"  ist in [m] ")</f>
        <v xml:space="preserve">Druckleitungslänge DN 80  ist in [m] </v>
      </c>
      <c r="D21" s="614">
        <f>ldl</f>
        <v>0</v>
      </c>
      <c r="E21" s="614">
        <f>ldl</f>
        <v>0</v>
      </c>
      <c r="F21" s="401"/>
      <c r="G21" s="615" t="s">
        <v>779</v>
      </c>
      <c r="H21" s="401"/>
      <c r="I21" s="598"/>
      <c r="J21" s="599" t="str">
        <f>CONCATENATE(meldung_53," ",dn)</f>
        <v>Qmax für DN 80</v>
      </c>
      <c r="K21" s="600"/>
      <c r="L21" s="600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569"/>
      <c r="AH21" s="401"/>
      <c r="AI21" s="401"/>
      <c r="AJ21" s="401"/>
      <c r="AK21" s="401"/>
      <c r="AL21" s="401"/>
      <c r="AM21" s="401"/>
      <c r="AN21" s="401"/>
      <c r="AO21" s="401"/>
      <c r="AP21" s="401"/>
      <c r="AQ21" s="401"/>
      <c r="AR21" s="401"/>
      <c r="AS21" s="401"/>
      <c r="AT21" s="401"/>
      <c r="AU21" s="401"/>
      <c r="AV21" s="401"/>
      <c r="AW21" s="401"/>
      <c r="AX21" s="401"/>
      <c r="AY21" s="401"/>
      <c r="AZ21" s="401"/>
      <c r="BA21" s="401"/>
      <c r="BB21" s="401"/>
      <c r="BC21" s="401"/>
      <c r="BD21" s="401"/>
      <c r="BE21" s="401"/>
      <c r="BF21" s="401"/>
      <c r="BG21" s="401"/>
      <c r="BH21" s="401"/>
      <c r="BI21" s="401"/>
      <c r="BJ21" s="401"/>
      <c r="BK21" s="401"/>
      <c r="BL21" s="401"/>
      <c r="BM21" s="401"/>
      <c r="BN21" s="401"/>
      <c r="BO21" s="401"/>
      <c r="BP21" s="401"/>
      <c r="BQ21" s="401"/>
      <c r="BR21" s="401"/>
      <c r="BS21" s="401"/>
      <c r="BT21" s="401"/>
      <c r="BU21" s="401"/>
      <c r="BV21" s="401"/>
      <c r="BW21" s="401"/>
      <c r="BX21" s="401"/>
      <c r="BY21" s="401"/>
      <c r="BZ21" s="401"/>
      <c r="CA21" s="401"/>
      <c r="CB21" s="401"/>
      <c r="CC21" s="401"/>
      <c r="CD21" s="401"/>
      <c r="CE21" s="401"/>
      <c r="CF21" s="401"/>
      <c r="CG21" s="401"/>
      <c r="CH21" s="401"/>
      <c r="CI21" s="401"/>
      <c r="CJ21" s="401"/>
      <c r="CK21" s="401"/>
      <c r="CL21" s="401"/>
      <c r="CM21" s="401"/>
      <c r="CN21" s="401"/>
      <c r="CO21" s="401"/>
      <c r="CP21" s="401"/>
      <c r="CQ21" s="401"/>
      <c r="CR21" s="401"/>
      <c r="CS21" s="401"/>
      <c r="CT21" s="401"/>
      <c r="CU21" s="401"/>
      <c r="CV21" s="401"/>
      <c r="CW21" s="401"/>
      <c r="CX21" s="401"/>
      <c r="CY21" s="401"/>
      <c r="CZ21" s="401"/>
      <c r="DA21" s="401"/>
      <c r="DB21" s="401"/>
      <c r="DC21" s="401"/>
      <c r="DD21" s="401"/>
      <c r="DE21" s="401"/>
      <c r="DF21" s="401"/>
      <c r="DG21" s="401"/>
      <c r="DH21" s="401"/>
      <c r="DI21" s="401"/>
      <c r="DJ21" s="401"/>
      <c r="DK21" s="401"/>
      <c r="DL21" s="401"/>
      <c r="DM21" s="401"/>
      <c r="DN21" s="401"/>
      <c r="DO21" s="401"/>
      <c r="DP21" s="401"/>
      <c r="DQ21" s="401"/>
      <c r="DR21" s="401"/>
      <c r="DS21" s="401"/>
      <c r="DT21" s="401"/>
    </row>
    <row r="22" spans="1:124" ht="14.25">
      <c r="A22" s="401"/>
      <c r="B22" s="401"/>
      <c r="C22" s="552" t="str">
        <f>CONCATENATE("Max ldl für DN ",dn)</f>
        <v>Max ldl für DN 80</v>
      </c>
      <c r="D22" s="616">
        <f>MAX(hgeo_max_matrix_u160)</f>
        <v>0</v>
      </c>
      <c r="E22" s="616" t="e">
        <f>MAX(hgeo_max_matrix_u1100)</f>
        <v>#VALUE!</v>
      </c>
      <c r="F22" s="401"/>
      <c r="H22" s="401"/>
      <c r="I22" s="598"/>
      <c r="J22" s="401"/>
      <c r="K22" s="534" t="s">
        <v>66</v>
      </c>
      <c r="L22" s="535" t="s">
        <v>54</v>
      </c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603"/>
      <c r="AH22" s="401"/>
      <c r="AI22" s="401"/>
      <c r="AJ22" s="401"/>
      <c r="AK22" s="401"/>
      <c r="AL22" s="401"/>
      <c r="AM22" s="401"/>
      <c r="AN22" s="401"/>
      <c r="AO22" s="401"/>
      <c r="AP22" s="401"/>
      <c r="AQ22" s="401"/>
      <c r="AR22" s="401"/>
      <c r="AS22" s="401"/>
      <c r="AT22" s="401"/>
      <c r="AU22" s="401"/>
      <c r="AV22" s="401"/>
      <c r="AW22" s="401"/>
      <c r="AX22" s="401"/>
      <c r="AY22" s="401"/>
      <c r="AZ22" s="401"/>
      <c r="BA22" s="401"/>
      <c r="BB22" s="401"/>
      <c r="BC22" s="401"/>
      <c r="BD22" s="401"/>
      <c r="BE22" s="401"/>
      <c r="BF22" s="401"/>
      <c r="BG22" s="401"/>
      <c r="BH22" s="401"/>
      <c r="BI22" s="401"/>
      <c r="BJ22" s="401"/>
      <c r="BK22" s="401"/>
      <c r="BL22" s="401"/>
      <c r="BM22" s="401"/>
      <c r="BN22" s="401"/>
      <c r="BO22" s="401"/>
      <c r="BP22" s="401"/>
      <c r="BQ22" s="401"/>
      <c r="BR22" s="401"/>
      <c r="BS22" s="401"/>
      <c r="BT22" s="401"/>
      <c r="BU22" s="401"/>
      <c r="BV22" s="401"/>
      <c r="BW22" s="401"/>
      <c r="BX22" s="401"/>
      <c r="BY22" s="401"/>
      <c r="BZ22" s="401"/>
      <c r="CA22" s="401"/>
      <c r="CB22" s="401"/>
      <c r="CC22" s="401"/>
      <c r="CD22" s="401"/>
      <c r="CE22" s="401"/>
      <c r="CF22" s="401"/>
      <c r="CG22" s="401"/>
      <c r="CH22" s="401"/>
      <c r="CI22" s="401"/>
      <c r="CJ22" s="401"/>
      <c r="CK22" s="401"/>
      <c r="CL22" s="401"/>
      <c r="CM22" s="401"/>
      <c r="CN22" s="401"/>
      <c r="CO22" s="401"/>
      <c r="CP22" s="401"/>
      <c r="CQ22" s="401"/>
      <c r="CR22" s="401"/>
      <c r="CS22" s="401"/>
      <c r="CT22" s="401"/>
      <c r="CU22" s="401"/>
      <c r="CV22" s="401"/>
      <c r="CW22" s="401"/>
      <c r="CX22" s="401"/>
      <c r="CY22" s="401"/>
      <c r="CZ22" s="401"/>
      <c r="DA22" s="401"/>
      <c r="DB22" s="401"/>
      <c r="DC22" s="401"/>
      <c r="DD22" s="401"/>
      <c r="DE22" s="401"/>
      <c r="DF22" s="401"/>
      <c r="DG22" s="401"/>
      <c r="DH22" s="401"/>
      <c r="DI22" s="401"/>
      <c r="DJ22" s="401"/>
      <c r="DK22" s="401"/>
      <c r="DL22" s="401"/>
      <c r="DM22" s="401"/>
      <c r="DN22" s="401"/>
      <c r="DO22" s="401"/>
      <c r="DP22" s="401"/>
      <c r="DQ22" s="401"/>
      <c r="DR22" s="401"/>
      <c r="DS22" s="401"/>
      <c r="DT22" s="401"/>
    </row>
    <row r="23" spans="1:124" ht="14.25">
      <c r="A23" s="401"/>
      <c r="B23" s="401"/>
      <c r="C23" s="552" t="s">
        <v>108</v>
      </c>
      <c r="D23" s="942" t="e">
        <f>IF(AND(vzulauf="nein",MAX(fh_geo,ldl)&gt;u060_ah_180)=TRUE,100,IF(fh_geo&gt;ldl,IF(fh_geo&gt;MAX(u1100_ah_180,u1100_ah_250,u1100_ah_vert,u2100_ah_180,u2100_ah_250,u2100_ah_vert),meldung_5,IF(fh_geo&gt;MAX(u060_ah_180,u060_ah_vert),"100","060")),IF(ldl&gt;MAX(u1100_ah_180,u1100_ah_250,u1100_ah_vert,u2100_ah_180,u2100_ah_250,u2100_ah_vert),meldung_5,IF(ldl&gt;MAX(u060_ah_180,u060_ah_vert),"100","060"))))</f>
        <v>#VALUE!</v>
      </c>
      <c r="E23" s="943"/>
      <c r="F23" s="401"/>
      <c r="H23" s="401"/>
      <c r="I23" s="598"/>
      <c r="J23" s="401">
        <v>1</v>
      </c>
      <c r="K23" s="609">
        <f>VLOOKUP(dn,qmin_qmax_dn,5,1)</f>
        <v>42.868414059000301</v>
      </c>
      <c r="L23" s="528">
        <f>L13</f>
        <v>0</v>
      </c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610"/>
      <c r="AH23" s="401"/>
      <c r="AI23" s="401"/>
      <c r="AJ23" s="401"/>
      <c r="AK23" s="401"/>
      <c r="AL23" s="401"/>
      <c r="AM23" s="401"/>
      <c r="AN23" s="401"/>
      <c r="AO23" s="401"/>
      <c r="AP23" s="401"/>
      <c r="AQ23" s="401"/>
      <c r="AR23" s="401"/>
      <c r="AS23" s="401"/>
      <c r="AT23" s="401"/>
      <c r="AU23" s="401"/>
      <c r="AV23" s="401"/>
      <c r="AW23" s="401"/>
      <c r="AX23" s="401"/>
      <c r="AY23" s="401"/>
      <c r="AZ23" s="401"/>
      <c r="BA23" s="401"/>
      <c r="BB23" s="401"/>
      <c r="BC23" s="401"/>
      <c r="BD23" s="401"/>
      <c r="BE23" s="401"/>
      <c r="BF23" s="401"/>
      <c r="BG23" s="401"/>
      <c r="BH23" s="401"/>
      <c r="BI23" s="401"/>
      <c r="BJ23" s="401"/>
      <c r="BK23" s="401"/>
      <c r="BL23" s="401"/>
      <c r="BM23" s="401"/>
      <c r="BN23" s="401"/>
      <c r="BO23" s="401"/>
      <c r="BP23" s="401"/>
      <c r="BQ23" s="401"/>
      <c r="BR23" s="401"/>
      <c r="BS23" s="401"/>
      <c r="BT23" s="401"/>
      <c r="BU23" s="401"/>
      <c r="BV23" s="401"/>
      <c r="BW23" s="401"/>
      <c r="BX23" s="401"/>
      <c r="BY23" s="401"/>
      <c r="BZ23" s="401"/>
      <c r="CA23" s="401"/>
      <c r="CB23" s="401"/>
      <c r="CC23" s="401"/>
      <c r="CD23" s="401"/>
      <c r="CE23" s="401"/>
      <c r="CF23" s="401"/>
      <c r="CG23" s="401"/>
      <c r="CH23" s="401"/>
      <c r="CI23" s="401"/>
      <c r="CJ23" s="401"/>
      <c r="CK23" s="401"/>
      <c r="CL23" s="401"/>
      <c r="CM23" s="401"/>
      <c r="CN23" s="401"/>
      <c r="CO23" s="401"/>
      <c r="CP23" s="401"/>
      <c r="CQ23" s="401"/>
      <c r="CR23" s="401"/>
      <c r="CS23" s="401"/>
      <c r="CT23" s="401"/>
      <c r="CU23" s="401"/>
      <c r="CV23" s="401"/>
      <c r="CW23" s="401"/>
      <c r="CX23" s="401"/>
      <c r="CY23" s="401"/>
      <c r="CZ23" s="401"/>
      <c r="DA23" s="401"/>
      <c r="DB23" s="401"/>
      <c r="DC23" s="401"/>
      <c r="DD23" s="401"/>
      <c r="DE23" s="401"/>
      <c r="DF23" s="401"/>
      <c r="DG23" s="401"/>
      <c r="DH23" s="401"/>
      <c r="DI23" s="401"/>
      <c r="DJ23" s="401"/>
      <c r="DK23" s="401"/>
      <c r="DL23" s="401"/>
      <c r="DM23" s="401"/>
      <c r="DN23" s="401"/>
      <c r="DO23" s="401"/>
      <c r="DP23" s="401"/>
      <c r="DQ23" s="401"/>
      <c r="DR23" s="401"/>
      <c r="DS23" s="401"/>
      <c r="DT23" s="401"/>
    </row>
    <row r="24" spans="1:124" ht="14.25">
      <c r="A24" s="617"/>
      <c r="B24" s="617"/>
      <c r="C24" s="618" t="str">
        <f>CONCATENATE("Laufradauswahl wg. Hgeo.= ",fh_geo,"[m]")</f>
        <v>Laufradauswahl wg. Hgeo.= [m]</v>
      </c>
      <c r="D24" s="619" t="e">
        <f>IF(fhoehe&lt;MIN(H6:H9),"1",IF(fhoehe&gt;MAX(H6:H9),meldung_4,IF(fhoehe&gt;fhoehe_kennl_f4,"5",IF(fhoehe&gt;fhoehe_kennl_f3,"4",IF(fhoehe&gt;fhoehe_kennl_f2,"3","2")))))</f>
        <v>#VALUE!</v>
      </c>
      <c r="E24" s="619"/>
      <c r="F24" s="401"/>
      <c r="G24" s="401"/>
      <c r="H24" s="401"/>
      <c r="I24" s="598"/>
      <c r="J24" s="401">
        <v>2</v>
      </c>
      <c r="K24" s="609">
        <f>VLOOKUP(dn,qmin_qmax_dn,5,1)</f>
        <v>42.868414059000301</v>
      </c>
      <c r="L24" s="613" t="e">
        <f>L14</f>
        <v>#VALUE!</v>
      </c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603"/>
      <c r="AH24" s="401"/>
      <c r="AI24" s="401"/>
      <c r="AJ24" s="401"/>
      <c r="AK24" s="401"/>
      <c r="AL24" s="401"/>
      <c r="AM24" s="401"/>
      <c r="AN24" s="401"/>
      <c r="AO24" s="401"/>
      <c r="AP24" s="401"/>
      <c r="AQ24" s="401"/>
      <c r="AR24" s="401"/>
      <c r="AS24" s="401"/>
      <c r="AT24" s="401"/>
      <c r="AU24" s="401"/>
      <c r="AV24" s="401"/>
      <c r="AW24" s="401"/>
      <c r="AX24" s="401"/>
      <c r="AY24" s="401"/>
      <c r="AZ24" s="401"/>
      <c r="BA24" s="401"/>
      <c r="BB24" s="401"/>
      <c r="BC24" s="401"/>
      <c r="BD24" s="401"/>
      <c r="BE24" s="401"/>
      <c r="BF24" s="401"/>
      <c r="BG24" s="401"/>
      <c r="BH24" s="401"/>
      <c r="BI24" s="401"/>
      <c r="BJ24" s="401"/>
      <c r="BK24" s="401"/>
      <c r="BL24" s="401"/>
      <c r="BM24" s="401"/>
      <c r="BN24" s="401"/>
      <c r="BO24" s="401"/>
      <c r="BP24" s="401"/>
      <c r="BQ24" s="401"/>
      <c r="BR24" s="401"/>
      <c r="BS24" s="401"/>
      <c r="BT24" s="401"/>
      <c r="BU24" s="401"/>
      <c r="BV24" s="401"/>
      <c r="BW24" s="401"/>
      <c r="BX24" s="401"/>
      <c r="BY24" s="401"/>
      <c r="BZ24" s="401"/>
      <c r="CA24" s="401"/>
      <c r="CB24" s="401"/>
      <c r="CC24" s="401"/>
      <c r="CD24" s="401"/>
      <c r="CE24" s="401"/>
      <c r="CF24" s="401"/>
      <c r="CG24" s="401"/>
      <c r="CH24" s="401"/>
      <c r="CI24" s="401"/>
      <c r="CJ24" s="401"/>
      <c r="CK24" s="401"/>
      <c r="CL24" s="401"/>
      <c r="CM24" s="401"/>
      <c r="CN24" s="401"/>
      <c r="CO24" s="401"/>
      <c r="CP24" s="401"/>
      <c r="CQ24" s="401"/>
      <c r="CR24" s="401"/>
      <c r="CS24" s="401"/>
      <c r="CT24" s="401"/>
      <c r="CU24" s="401"/>
      <c r="CV24" s="401"/>
      <c r="CW24" s="401"/>
      <c r="CX24" s="401"/>
      <c r="CY24" s="401"/>
      <c r="CZ24" s="401"/>
      <c r="DA24" s="401"/>
      <c r="DB24" s="401"/>
      <c r="DC24" s="401"/>
      <c r="DD24" s="401"/>
      <c r="DE24" s="401"/>
      <c r="DF24" s="401"/>
      <c r="DG24" s="401"/>
      <c r="DH24" s="401"/>
      <c r="DI24" s="401"/>
      <c r="DJ24" s="401"/>
      <c r="DK24" s="401"/>
      <c r="DL24" s="401"/>
      <c r="DM24" s="401"/>
      <c r="DN24" s="401"/>
      <c r="DO24" s="401"/>
      <c r="DP24" s="401"/>
      <c r="DQ24" s="401"/>
      <c r="DR24" s="401"/>
      <c r="DS24" s="401"/>
      <c r="DT24" s="401"/>
    </row>
    <row r="25" spans="1:124" ht="14.25">
      <c r="A25" s="608" t="s">
        <v>19</v>
      </c>
      <c r="B25" s="620" t="s">
        <v>105</v>
      </c>
      <c r="C25" s="621" t="str">
        <f>CONCATENATE("Qmin für DN ",dn)</f>
        <v>Qmin für DN 80</v>
      </c>
      <c r="D25" s="622">
        <f>ROUNDUP(VLOOKUP(dn,qmin_qmax_dn,3,1),2)</f>
        <v>12.6</v>
      </c>
      <c r="E25" s="623" t="e">
        <f>IF(qpumpe_bp&lt;qmin_allg,CONCATENATE("DN",dn," ",meldung_26,dn_empf)," ")</f>
        <v>#VALUE!</v>
      </c>
      <c r="F25" s="401"/>
      <c r="G25" s="401"/>
      <c r="H25" s="401"/>
      <c r="I25" s="598"/>
      <c r="J25" s="401"/>
      <c r="K25" s="609"/>
      <c r="L25" s="613"/>
      <c r="M25" s="401"/>
      <c r="N25" s="401"/>
      <c r="O25" s="401"/>
      <c r="P25" s="401"/>
      <c r="Q25" s="401"/>
      <c r="R25" s="401"/>
      <c r="S25" s="401"/>
      <c r="T25" s="401"/>
      <c r="U25" s="401"/>
      <c r="V25" s="401"/>
      <c r="W25" s="603"/>
      <c r="AH25" s="401"/>
      <c r="AI25" s="401"/>
      <c r="AJ25" s="401"/>
      <c r="AK25" s="401"/>
      <c r="AL25" s="401"/>
      <c r="AM25" s="401"/>
      <c r="AN25" s="401"/>
      <c r="AO25" s="401"/>
      <c r="AP25" s="401"/>
      <c r="AQ25" s="401"/>
      <c r="AR25" s="401"/>
      <c r="AS25" s="401"/>
      <c r="AT25" s="401"/>
      <c r="AU25" s="401"/>
      <c r="AV25" s="401"/>
      <c r="AW25" s="401"/>
      <c r="AX25" s="401"/>
      <c r="AY25" s="401"/>
      <c r="AZ25" s="401"/>
      <c r="BA25" s="401"/>
      <c r="BB25" s="401"/>
      <c r="BC25" s="401"/>
      <c r="BD25" s="401"/>
      <c r="BE25" s="401"/>
      <c r="BF25" s="401"/>
      <c r="BG25" s="401"/>
      <c r="BH25" s="401"/>
      <c r="BI25" s="401"/>
      <c r="BJ25" s="401"/>
      <c r="BK25" s="401"/>
      <c r="BL25" s="401"/>
      <c r="BM25" s="401"/>
      <c r="BN25" s="401"/>
      <c r="BO25" s="401"/>
      <c r="BP25" s="401"/>
      <c r="BQ25" s="401"/>
      <c r="BR25" s="401"/>
      <c r="BS25" s="401"/>
      <c r="BT25" s="401"/>
      <c r="BU25" s="401"/>
      <c r="BV25" s="401"/>
      <c r="BW25" s="401"/>
      <c r="BX25" s="401"/>
      <c r="BY25" s="401"/>
      <c r="BZ25" s="401"/>
      <c r="CA25" s="401"/>
      <c r="CB25" s="401"/>
      <c r="CC25" s="401"/>
      <c r="CD25" s="401"/>
      <c r="CE25" s="401"/>
      <c r="CF25" s="401"/>
      <c r="CG25" s="401"/>
      <c r="CH25" s="401"/>
      <c r="CI25" s="401"/>
      <c r="CJ25" s="401"/>
      <c r="CK25" s="401"/>
      <c r="CL25" s="401"/>
      <c r="CM25" s="401"/>
      <c r="CN25" s="401"/>
      <c r="CO25" s="401"/>
      <c r="CP25" s="401"/>
      <c r="CQ25" s="401"/>
      <c r="CR25" s="401"/>
      <c r="CS25" s="401"/>
      <c r="CT25" s="401"/>
      <c r="CU25" s="401"/>
      <c r="CV25" s="401"/>
      <c r="CW25" s="401"/>
      <c r="CX25" s="401"/>
      <c r="CY25" s="401"/>
      <c r="CZ25" s="401"/>
      <c r="DA25" s="401"/>
      <c r="DB25" s="401"/>
      <c r="DC25" s="401"/>
      <c r="DD25" s="401"/>
      <c r="DE25" s="401"/>
      <c r="DF25" s="401"/>
      <c r="DG25" s="401"/>
      <c r="DH25" s="401"/>
      <c r="DI25" s="401"/>
      <c r="DJ25" s="401"/>
      <c r="DK25" s="401"/>
      <c r="DL25" s="401"/>
      <c r="DM25" s="401"/>
      <c r="DN25" s="401"/>
      <c r="DO25" s="401"/>
      <c r="DP25" s="401"/>
      <c r="DQ25" s="401"/>
      <c r="DR25" s="401"/>
      <c r="DS25" s="401"/>
      <c r="DT25" s="401"/>
    </row>
    <row r="26" spans="1:124" ht="14.25">
      <c r="A26" s="401"/>
      <c r="B26" s="624" t="s">
        <v>106</v>
      </c>
      <c r="C26" s="552" t="str">
        <f>CONCATENATE("Qmin für Laufrad F",dn)</f>
        <v>Qmin für Laufrad F80</v>
      </c>
      <c r="D26" s="625">
        <v>0</v>
      </c>
      <c r="E26" s="626"/>
      <c r="F26" s="401"/>
      <c r="G26" s="401"/>
      <c r="H26" s="401"/>
      <c r="I26" s="598"/>
      <c r="J26" s="401"/>
      <c r="K26" s="609"/>
      <c r="L26" s="613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603"/>
      <c r="AH26" s="401"/>
      <c r="AI26" s="401"/>
      <c r="AJ26" s="401"/>
      <c r="AK26" s="401"/>
      <c r="AL26" s="401"/>
      <c r="AM26" s="401"/>
      <c r="AN26" s="401"/>
      <c r="AO26" s="401"/>
      <c r="AP26" s="401"/>
      <c r="AQ26" s="401"/>
      <c r="AR26" s="401"/>
      <c r="AS26" s="401"/>
      <c r="AT26" s="401"/>
      <c r="AU26" s="401"/>
      <c r="AV26" s="401"/>
      <c r="AW26" s="401"/>
      <c r="AX26" s="401"/>
      <c r="AY26" s="401"/>
      <c r="AZ26" s="401"/>
      <c r="BA26" s="401"/>
      <c r="BB26" s="401"/>
      <c r="BC26" s="401"/>
      <c r="BD26" s="401"/>
      <c r="BE26" s="401"/>
      <c r="BF26" s="401"/>
      <c r="BG26" s="401"/>
      <c r="BH26" s="401"/>
      <c r="BI26" s="401"/>
      <c r="BJ26" s="401"/>
      <c r="BK26" s="401"/>
      <c r="BL26" s="401"/>
      <c r="BM26" s="401"/>
      <c r="BN26" s="401"/>
      <c r="BO26" s="401"/>
      <c r="BP26" s="401"/>
      <c r="BQ26" s="401"/>
      <c r="BR26" s="401"/>
      <c r="BS26" s="401"/>
      <c r="BT26" s="401"/>
      <c r="BU26" s="401"/>
      <c r="BV26" s="401"/>
      <c r="BW26" s="401"/>
      <c r="BX26" s="401"/>
      <c r="BY26" s="401"/>
      <c r="BZ26" s="401"/>
      <c r="CA26" s="401"/>
      <c r="CB26" s="401"/>
      <c r="CC26" s="401"/>
      <c r="CD26" s="401"/>
      <c r="CE26" s="401"/>
      <c r="CF26" s="401"/>
      <c r="CG26" s="401"/>
      <c r="CH26" s="401"/>
      <c r="CI26" s="401"/>
      <c r="CJ26" s="401"/>
      <c r="CK26" s="401"/>
      <c r="CL26" s="401"/>
      <c r="CM26" s="401"/>
      <c r="CN26" s="401"/>
      <c r="CO26" s="401"/>
      <c r="CP26" s="401"/>
      <c r="CQ26" s="401"/>
      <c r="CR26" s="401"/>
      <c r="CS26" s="401"/>
      <c r="CT26" s="401"/>
      <c r="CU26" s="401"/>
      <c r="CV26" s="401"/>
      <c r="CW26" s="401"/>
      <c r="CX26" s="401"/>
      <c r="CY26" s="401"/>
      <c r="CZ26" s="401"/>
      <c r="DA26" s="401"/>
      <c r="DB26" s="401"/>
      <c r="DC26" s="401"/>
      <c r="DD26" s="401"/>
      <c r="DE26" s="401"/>
      <c r="DF26" s="401"/>
      <c r="DG26" s="401"/>
      <c r="DH26" s="401"/>
      <c r="DI26" s="401"/>
      <c r="DJ26" s="401"/>
      <c r="DK26" s="401"/>
      <c r="DL26" s="401"/>
      <c r="DM26" s="401"/>
      <c r="DN26" s="401"/>
      <c r="DO26" s="401"/>
      <c r="DP26" s="401"/>
      <c r="DQ26" s="401"/>
      <c r="DR26" s="401"/>
      <c r="DS26" s="401"/>
      <c r="DT26" s="401"/>
    </row>
    <row r="27" spans="1:124" ht="14.25">
      <c r="A27" s="401" t="s">
        <v>382</v>
      </c>
      <c r="B27" s="624"/>
      <c r="C27" s="621"/>
      <c r="D27" s="627"/>
      <c r="E27" s="627" t="e">
        <f>qpumpe_bp_zw&gt;VALUE(qmax_laufrad_ist)</f>
        <v>#VALUE!</v>
      </c>
      <c r="F27" s="628" t="b">
        <f>VALUE(qpumpe_bp_zw-MIN(qmin_allg,55))&gt;0</f>
        <v>1</v>
      </c>
      <c r="G27" s="401"/>
      <c r="H27" s="401"/>
      <c r="I27" s="598"/>
      <c r="J27" s="401"/>
      <c r="K27" s="609"/>
      <c r="L27" s="613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603"/>
      <c r="AC27" s="400" t="e">
        <f>SMALL(AC37:AC38,1)</f>
        <v>#VALUE!</v>
      </c>
      <c r="AH27" s="401"/>
      <c r="AI27" s="401"/>
      <c r="AJ27" s="401"/>
      <c r="AK27" s="401"/>
      <c r="AL27" s="401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401"/>
      <c r="AY27" s="401"/>
      <c r="AZ27" s="401"/>
      <c r="BA27" s="401"/>
      <c r="BB27" s="401"/>
      <c r="BC27" s="401"/>
      <c r="BD27" s="401"/>
      <c r="BE27" s="401"/>
      <c r="BF27" s="401"/>
      <c r="BG27" s="401"/>
      <c r="BH27" s="401"/>
      <c r="BI27" s="401"/>
      <c r="BJ27" s="401"/>
      <c r="BK27" s="401"/>
      <c r="BL27" s="401"/>
      <c r="BM27" s="401"/>
      <c r="BN27" s="401"/>
      <c r="BO27" s="401"/>
      <c r="BP27" s="401"/>
      <c r="BQ27" s="401"/>
      <c r="BR27" s="401"/>
      <c r="BS27" s="401"/>
      <c r="BT27" s="401"/>
      <c r="BU27" s="401"/>
      <c r="BV27" s="401"/>
      <c r="BW27" s="401"/>
      <c r="BX27" s="401"/>
      <c r="BY27" s="401"/>
      <c r="BZ27" s="401"/>
      <c r="CA27" s="401"/>
      <c r="CB27" s="401"/>
      <c r="CC27" s="401"/>
      <c r="CD27" s="401"/>
      <c r="CE27" s="401"/>
      <c r="CF27" s="401"/>
      <c r="CG27" s="401"/>
      <c r="CH27" s="401"/>
      <c r="CI27" s="401"/>
      <c r="CJ27" s="401"/>
      <c r="CK27" s="401"/>
      <c r="CL27" s="401"/>
      <c r="CM27" s="401"/>
      <c r="CN27" s="401"/>
      <c r="CO27" s="401"/>
      <c r="CP27" s="401"/>
      <c r="CQ27" s="401"/>
      <c r="CR27" s="401"/>
      <c r="CS27" s="401"/>
      <c r="CT27" s="401"/>
      <c r="CU27" s="401"/>
      <c r="CV27" s="401"/>
      <c r="CW27" s="401"/>
      <c r="CX27" s="401"/>
      <c r="CY27" s="401"/>
      <c r="CZ27" s="401"/>
      <c r="DA27" s="401"/>
      <c r="DB27" s="401"/>
      <c r="DC27" s="401"/>
      <c r="DD27" s="401"/>
      <c r="DE27" s="401"/>
      <c r="DF27" s="401"/>
      <c r="DG27" s="401"/>
      <c r="DH27" s="401"/>
      <c r="DI27" s="401"/>
      <c r="DJ27" s="401"/>
      <c r="DK27" s="401"/>
      <c r="DL27" s="401"/>
      <c r="DM27" s="401"/>
      <c r="DN27" s="401"/>
      <c r="DO27" s="401"/>
      <c r="DP27" s="401"/>
      <c r="DQ27" s="401"/>
      <c r="DR27" s="401"/>
      <c r="DS27" s="401"/>
      <c r="DT27" s="401"/>
    </row>
    <row r="28" spans="1:124" ht="14.25">
      <c r="A28" s="401"/>
      <c r="B28" s="624"/>
      <c r="C28" s="552"/>
      <c r="D28" s="629"/>
      <c r="E28" s="629"/>
      <c r="F28" s="630" t="e">
        <f>INDEX(qpumpe_bp_f_matrix,MATCH(qzulauf/max_qz_qp,F12:F16,1)+1,2)</f>
        <v>#VALUE!</v>
      </c>
      <c r="G28" s="401"/>
      <c r="H28" s="401"/>
      <c r="I28" s="598"/>
      <c r="J28" s="401"/>
      <c r="K28" s="609"/>
      <c r="L28" s="613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603"/>
      <c r="AH28" s="401"/>
      <c r="AI28" s="401"/>
      <c r="AJ28" s="401"/>
      <c r="AK28" s="401"/>
      <c r="AL28" s="401"/>
      <c r="AM28" s="401"/>
      <c r="AN28" s="401"/>
      <c r="AO28" s="401"/>
      <c r="AP28" s="401"/>
      <c r="AQ28" s="401"/>
      <c r="AR28" s="401"/>
      <c r="AS28" s="401"/>
      <c r="AT28" s="401"/>
      <c r="AU28" s="401"/>
      <c r="AV28" s="401"/>
      <c r="AW28" s="401"/>
      <c r="AX28" s="401"/>
      <c r="AY28" s="401"/>
      <c r="AZ28" s="401"/>
      <c r="BA28" s="401"/>
      <c r="BB28" s="401"/>
      <c r="BC28" s="401"/>
      <c r="BD28" s="401"/>
      <c r="BE28" s="401"/>
      <c r="BF28" s="401"/>
      <c r="BG28" s="401"/>
      <c r="BH28" s="401"/>
      <c r="BI28" s="401"/>
      <c r="BJ28" s="401"/>
      <c r="BK28" s="401"/>
      <c r="BL28" s="401"/>
      <c r="BM28" s="401"/>
      <c r="BN28" s="401"/>
      <c r="BO28" s="401"/>
      <c r="BP28" s="401"/>
      <c r="BQ28" s="401"/>
      <c r="BR28" s="401"/>
      <c r="BS28" s="401"/>
      <c r="BT28" s="401"/>
      <c r="BU28" s="401"/>
      <c r="BV28" s="401"/>
      <c r="BW28" s="401"/>
      <c r="BX28" s="401"/>
      <c r="BY28" s="401"/>
      <c r="BZ28" s="401"/>
      <c r="CA28" s="401"/>
      <c r="CB28" s="401"/>
      <c r="CC28" s="401"/>
      <c r="CD28" s="401"/>
      <c r="CE28" s="401"/>
      <c r="CF28" s="401"/>
      <c r="CG28" s="401"/>
      <c r="CH28" s="401"/>
      <c r="CI28" s="401"/>
      <c r="CJ28" s="401"/>
      <c r="CK28" s="401"/>
      <c r="CL28" s="401"/>
      <c r="CM28" s="401"/>
      <c r="CN28" s="401"/>
      <c r="CO28" s="401"/>
      <c r="CP28" s="401"/>
      <c r="CQ28" s="401"/>
      <c r="CR28" s="401"/>
      <c r="CS28" s="401"/>
      <c r="CT28" s="401"/>
      <c r="CU28" s="401"/>
      <c r="CV28" s="401"/>
      <c r="CW28" s="401"/>
      <c r="CX28" s="401"/>
      <c r="CY28" s="401"/>
      <c r="CZ28" s="401"/>
      <c r="DA28" s="401"/>
      <c r="DB28" s="401"/>
      <c r="DC28" s="401"/>
      <c r="DD28" s="401"/>
      <c r="DE28" s="401"/>
      <c r="DF28" s="401"/>
      <c r="DG28" s="401"/>
      <c r="DH28" s="401"/>
      <c r="DI28" s="401"/>
      <c r="DJ28" s="401"/>
      <c r="DK28" s="401"/>
      <c r="DL28" s="401"/>
      <c r="DM28" s="401"/>
      <c r="DN28" s="401"/>
      <c r="DO28" s="401"/>
      <c r="DP28" s="401"/>
      <c r="DQ28" s="401"/>
      <c r="DR28" s="401"/>
      <c r="DS28" s="401"/>
      <c r="DT28" s="401"/>
    </row>
    <row r="29" spans="1:124" ht="14.25">
      <c r="A29" s="401"/>
      <c r="B29" s="624"/>
      <c r="C29" s="618"/>
      <c r="D29" s="619"/>
      <c r="E29" s="619"/>
      <c r="F29" s="631"/>
      <c r="G29" s="401"/>
      <c r="H29" s="401"/>
      <c r="I29" s="598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3"/>
      <c r="AH29" s="401"/>
      <c r="AI29" s="401"/>
      <c r="AJ29" s="401"/>
      <c r="AK29" s="401"/>
      <c r="AL29" s="401"/>
      <c r="AM29" s="401"/>
      <c r="AN29" s="401"/>
      <c r="AO29" s="401"/>
      <c r="AP29" s="401"/>
      <c r="AQ29" s="401"/>
      <c r="AR29" s="401"/>
      <c r="AS29" s="401"/>
      <c r="AT29" s="401"/>
      <c r="AU29" s="401"/>
      <c r="AV29" s="401"/>
      <c r="AW29" s="401"/>
      <c r="AX29" s="401"/>
      <c r="AY29" s="401"/>
      <c r="AZ29" s="401"/>
      <c r="BA29" s="401"/>
      <c r="BB29" s="401"/>
      <c r="BC29" s="401"/>
      <c r="BD29" s="401"/>
      <c r="BE29" s="401"/>
      <c r="BF29" s="401"/>
      <c r="BG29" s="401"/>
      <c r="BH29" s="401"/>
      <c r="BI29" s="401"/>
      <c r="BJ29" s="401"/>
      <c r="BK29" s="401"/>
      <c r="BL29" s="401"/>
      <c r="BM29" s="401"/>
      <c r="BN29" s="401"/>
      <c r="BO29" s="401"/>
      <c r="BP29" s="401"/>
      <c r="BQ29" s="401"/>
      <c r="BR29" s="401"/>
      <c r="BS29" s="401"/>
      <c r="BT29" s="401"/>
      <c r="BU29" s="401"/>
      <c r="BV29" s="401"/>
      <c r="BW29" s="401"/>
      <c r="BX29" s="401"/>
      <c r="BY29" s="401"/>
      <c r="BZ29" s="401"/>
      <c r="CA29" s="401"/>
      <c r="CB29" s="401"/>
      <c r="CC29" s="401"/>
      <c r="CD29" s="401"/>
      <c r="CE29" s="401"/>
      <c r="CF29" s="401"/>
      <c r="CG29" s="401"/>
      <c r="CH29" s="401"/>
      <c r="CI29" s="401"/>
      <c r="CJ29" s="401"/>
      <c r="CK29" s="401"/>
      <c r="CL29" s="401"/>
      <c r="CM29" s="401"/>
      <c r="CN29" s="401"/>
      <c r="CO29" s="401"/>
      <c r="CP29" s="401"/>
      <c r="CQ29" s="401"/>
      <c r="CR29" s="401"/>
      <c r="CS29" s="401"/>
      <c r="CT29" s="401"/>
      <c r="CU29" s="401"/>
      <c r="CV29" s="401"/>
      <c r="CW29" s="401"/>
      <c r="CX29" s="401"/>
      <c r="CY29" s="401"/>
      <c r="CZ29" s="401"/>
      <c r="DA29" s="401"/>
      <c r="DB29" s="401"/>
      <c r="DC29" s="401"/>
      <c r="DD29" s="401"/>
      <c r="DE29" s="401"/>
      <c r="DF29" s="401"/>
      <c r="DG29" s="401"/>
      <c r="DH29" s="401"/>
      <c r="DI29" s="401"/>
      <c r="DJ29" s="401"/>
      <c r="DK29" s="401"/>
      <c r="DL29" s="401"/>
      <c r="DM29" s="401"/>
      <c r="DN29" s="401"/>
      <c r="DO29" s="401"/>
      <c r="DP29" s="401"/>
      <c r="DQ29" s="401"/>
      <c r="DR29" s="401"/>
      <c r="DS29" s="401"/>
      <c r="DT29" s="401"/>
    </row>
    <row r="30" spans="1:124" ht="14.25">
      <c r="A30" s="608" t="s">
        <v>107</v>
      </c>
      <c r="B30" s="620"/>
      <c r="C30" s="621" t="s">
        <v>20</v>
      </c>
      <c r="D30" s="632" t="e">
        <f>IF(qzulauf&lt;qmin_allg,qmin_allg,qzulauf)</f>
        <v>#VALUE!</v>
      </c>
      <c r="E30" s="632"/>
      <c r="F30" s="633"/>
      <c r="G30" s="528"/>
      <c r="H30" s="401"/>
      <c r="I30" s="598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634"/>
      <c r="AH30" s="401"/>
      <c r="AI30" s="401"/>
      <c r="AJ30" s="401"/>
      <c r="AK30" s="401"/>
      <c r="AL30" s="401"/>
      <c r="AM30" s="401"/>
      <c r="AN30" s="401"/>
      <c r="AO30" s="401"/>
      <c r="AP30" s="401"/>
      <c r="AQ30" s="401"/>
      <c r="AR30" s="401"/>
      <c r="AS30" s="401"/>
      <c r="AT30" s="401"/>
      <c r="AU30" s="401"/>
      <c r="AV30" s="401"/>
      <c r="AW30" s="401"/>
      <c r="AX30" s="401"/>
      <c r="AY30" s="401"/>
      <c r="AZ30" s="401"/>
      <c r="BA30" s="401"/>
      <c r="BB30" s="401"/>
      <c r="BC30" s="401"/>
      <c r="BD30" s="401"/>
      <c r="BE30" s="401"/>
      <c r="BF30" s="401"/>
      <c r="BG30" s="401"/>
      <c r="BH30" s="401"/>
      <c r="BI30" s="401"/>
      <c r="BJ30" s="401"/>
      <c r="BK30" s="401"/>
      <c r="BL30" s="401"/>
      <c r="BM30" s="401"/>
      <c r="BN30" s="401"/>
      <c r="BO30" s="401"/>
      <c r="BP30" s="401"/>
      <c r="BQ30" s="401"/>
      <c r="BR30" s="401"/>
      <c r="BS30" s="401"/>
      <c r="BT30" s="401"/>
      <c r="BU30" s="401"/>
      <c r="BV30" s="401"/>
      <c r="BW30" s="401"/>
      <c r="BX30" s="401"/>
      <c r="BY30" s="401"/>
      <c r="BZ30" s="401"/>
      <c r="CA30" s="401"/>
      <c r="CB30" s="401"/>
      <c r="CC30" s="401"/>
      <c r="CD30" s="401"/>
      <c r="CE30" s="401"/>
      <c r="CF30" s="401"/>
      <c r="CG30" s="401"/>
      <c r="CH30" s="401"/>
      <c r="CI30" s="401"/>
      <c r="CJ30" s="401"/>
      <c r="CK30" s="401"/>
      <c r="CL30" s="401"/>
      <c r="CM30" s="401"/>
      <c r="CN30" s="401"/>
      <c r="CO30" s="401"/>
      <c r="CP30" s="401"/>
      <c r="CQ30" s="401"/>
      <c r="CR30" s="401"/>
      <c r="CS30" s="401"/>
      <c r="CT30" s="401"/>
      <c r="CU30" s="401"/>
      <c r="CV30" s="401"/>
      <c r="CW30" s="401"/>
      <c r="CX30" s="401"/>
      <c r="CY30" s="401"/>
      <c r="CZ30" s="401"/>
      <c r="DA30" s="401"/>
      <c r="DB30" s="401"/>
      <c r="DC30" s="401"/>
      <c r="DD30" s="401"/>
      <c r="DE30" s="401"/>
      <c r="DF30" s="401"/>
      <c r="DG30" s="401"/>
      <c r="DH30" s="401"/>
      <c r="DI30" s="401"/>
      <c r="DJ30" s="401"/>
      <c r="DK30" s="401"/>
      <c r="DL30" s="401"/>
      <c r="DM30" s="401"/>
      <c r="DN30" s="401"/>
      <c r="DO30" s="401"/>
      <c r="DP30" s="401"/>
      <c r="DQ30" s="401"/>
      <c r="DR30" s="401"/>
      <c r="DS30" s="401"/>
      <c r="DT30" s="401"/>
    </row>
    <row r="31" spans="1:124" ht="14.25">
      <c r="A31" s="401"/>
      <c r="B31" s="624"/>
      <c r="C31" s="552" t="str">
        <f>CONCATENATE("Laufradbestimmung wg. Förderhöhe = ",fhoehe," [m]")</f>
        <v>Laufradbestimmung wg. Förderhöhe = 0 [m]</v>
      </c>
      <c r="D31" s="635">
        <f>VALUE(CHOOSE(Y32,AB32,AB33,AB34,AB35,AB36,AB37,AB38,AB39,AB40,AB41,AB42,AB43,AB44,AB45,AB46,AB47,AB48,AB49,AB50,AB51,AB52,AB53,AB54))</f>
        <v>1</v>
      </c>
      <c r="E31" s="636" t="e">
        <f>IF(laufrad_form="S",IF(fhoehe&gt;fhoehe_kennl_s2*0.95,meldung_72,IF(fhoehe&gt;fhoehe_kennl_s1*0.95,"2","1")),VALUE(IF(fhoehe&gt;fhoehe_kennl_f5*0.95,meldung_72,IF(fhoehe&gt;fhoehe_kennl_f4*0.95,"5",IF(fhoehe&gt;fhoehe_kennl_f3*0.95,"4",IF(fhoehe&gt;fhoehe_kennl_f2*0.95,"3",IF(fhoehe&gt;fhoehe_kennl_f1*0.95,"2","1")))))))</f>
        <v>#VALUE!</v>
      </c>
      <c r="F31" s="637" t="e">
        <f>D31&gt;E31</f>
        <v>#VALUE!</v>
      </c>
      <c r="G31" s="400" t="str">
        <f>CHOOSE(Y32,AB32,AB33,AB34,AB35,AB36,AB37,AB38,AB39,AB40,AB41,AB42,AB43,AB44,AB45,AB46,AB47,AB48,AB49,AB50,AB51,AB52,AB53,AB54)</f>
        <v>1</v>
      </c>
      <c r="H31" s="635" t="e">
        <f>MATCH(TRUE,AG132:AG154,0)</f>
        <v>#N/A</v>
      </c>
      <c r="I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638"/>
      <c r="X31" s="639" t="s">
        <v>724</v>
      </c>
      <c r="Y31" s="640" t="s">
        <v>192</v>
      </c>
      <c r="Z31" s="640" t="s">
        <v>725</v>
      </c>
      <c r="AA31" s="640" t="s">
        <v>726</v>
      </c>
      <c r="AB31" s="640" t="s">
        <v>727</v>
      </c>
      <c r="AC31" s="639" t="s">
        <v>728</v>
      </c>
      <c r="AD31" s="640" t="s">
        <v>729</v>
      </c>
      <c r="AE31" s="640" t="s">
        <v>730</v>
      </c>
      <c r="AF31" s="639" t="s">
        <v>731</v>
      </c>
      <c r="AG31" s="401"/>
      <c r="AH31" s="401"/>
      <c r="AI31" s="401"/>
      <c r="AJ31" s="401"/>
      <c r="AK31" s="401"/>
      <c r="AL31" s="401"/>
      <c r="AM31" s="401"/>
      <c r="AN31" s="401"/>
      <c r="AO31" s="401"/>
      <c r="AP31" s="401"/>
      <c r="AQ31" s="401"/>
      <c r="AR31" s="401"/>
      <c r="AS31" s="401"/>
      <c r="AT31" s="401"/>
      <c r="AU31" s="401"/>
      <c r="AV31" s="401"/>
      <c r="AW31" s="401"/>
      <c r="AX31" s="401"/>
      <c r="AY31" s="401"/>
      <c r="AZ31" s="401"/>
      <c r="BA31" s="401"/>
      <c r="BB31" s="401"/>
      <c r="BC31" s="401"/>
      <c r="BD31" s="401"/>
      <c r="BE31" s="401"/>
      <c r="BF31" s="401"/>
      <c r="BG31" s="401"/>
      <c r="BH31" s="401"/>
      <c r="BI31" s="401"/>
      <c r="BJ31" s="401"/>
      <c r="BK31" s="401"/>
      <c r="BL31" s="401"/>
      <c r="BM31" s="401"/>
      <c r="BN31" s="401"/>
      <c r="BO31" s="401"/>
      <c r="BP31" s="401"/>
      <c r="BQ31" s="401"/>
      <c r="BR31" s="401"/>
      <c r="BS31" s="401"/>
      <c r="BT31" s="401"/>
      <c r="BU31" s="401"/>
      <c r="BV31" s="401"/>
      <c r="BW31" s="401"/>
      <c r="BX31" s="401"/>
      <c r="BY31" s="401"/>
      <c r="BZ31" s="401"/>
      <c r="CA31" s="401"/>
      <c r="CB31" s="401"/>
      <c r="CC31" s="401"/>
      <c r="CD31" s="401"/>
      <c r="CE31" s="401"/>
      <c r="CF31" s="401"/>
      <c r="CG31" s="401"/>
      <c r="CH31" s="401"/>
      <c r="CI31" s="401"/>
      <c r="CJ31" s="401"/>
      <c r="CK31" s="401"/>
      <c r="CL31" s="401"/>
      <c r="CM31" s="401"/>
      <c r="CN31" s="401"/>
      <c r="CO31" s="401"/>
      <c r="CP31" s="401"/>
      <c r="CQ31" s="401"/>
      <c r="CR31" s="401"/>
      <c r="CS31" s="401"/>
      <c r="CT31" s="401"/>
      <c r="CU31" s="401"/>
      <c r="CV31" s="401"/>
      <c r="CW31" s="401"/>
      <c r="CX31" s="401"/>
      <c r="CY31" s="401"/>
      <c r="CZ31" s="401"/>
      <c r="DA31" s="401"/>
      <c r="DB31" s="401"/>
      <c r="DC31" s="401"/>
      <c r="DD31" s="401"/>
      <c r="DE31" s="401"/>
      <c r="DF31" s="401"/>
      <c r="DG31" s="401"/>
      <c r="DH31" s="401"/>
      <c r="DI31" s="401"/>
      <c r="DJ31" s="401"/>
      <c r="DK31" s="401"/>
      <c r="DL31" s="401"/>
      <c r="DM31" s="401"/>
      <c r="DN31" s="401"/>
      <c r="DO31" s="401"/>
      <c r="DP31" s="401"/>
      <c r="DQ31" s="401"/>
      <c r="DR31" s="401"/>
      <c r="DS31" s="401"/>
    </row>
    <row r="32" spans="1:124" ht="15">
      <c r="A32" s="401"/>
      <c r="B32" s="624"/>
      <c r="C32" s="641" t="str">
        <f>CONCATENATE("Qmax für Laufrad ",laufrad_form,D31)</f>
        <v>Qmax für Laufrad F1</v>
      </c>
      <c r="D32" s="642">
        <f>IF(laufrad_form="F",ROUNDDOWN(VLOOKUP(CONCATENATE("Kennlinie F",D31),kennlinie_laufrad_f_matrix,5,1),2),ROUNDDOWN(VLOOKUP(CONCATENATE("Kennlinie S",D31),kennlinie_laufrad_s_matrix,5,1),2))</f>
        <v>24</v>
      </c>
      <c r="E32" s="643">
        <f>IF(laufrad_form="F",ROUNDDOWN(VLOOKUP(CONCATENATE("Q F",D31),qpumpe_bp_f_matrix,6,1),2),ROUNDDOWN(VLOOKUP(CONCATENATE("Q S",D31),qpumpe_bp_s_matrix,6,1),2))</f>
        <v>24</v>
      </c>
      <c r="F32" s="637" t="b">
        <f>E32&lt;D32</f>
        <v>0</v>
      </c>
      <c r="G32" s="401"/>
      <c r="H32" s="401"/>
      <c r="I32" s="598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634"/>
      <c r="X32" s="402" t="e">
        <f t="shared" ref="X32:X38" si="4">AND(D12,E12,G12,H12)</f>
        <v>#VALUE!</v>
      </c>
      <c r="Y32" s="402">
        <f t="shared" ref="Y32:Y38" si="5">(MATCH(TRUE,auswertung_anschluss,0))</f>
        <v>1</v>
      </c>
      <c r="Z32" s="402">
        <f t="shared" ref="Z32:Z38" si="6">COUNTIFS($AB$32:$AB$54,$B12,auswertung_anschluss,TRUE)</f>
        <v>3</v>
      </c>
      <c r="AA32" s="644">
        <f t="shared" ref="AA32:AA38" si="7">IF(COUNTIFS($AB$32:$AB$54,$B12,auswertung_anschluss,TRUE)&gt;0,$B12,"")</f>
        <v>1</v>
      </c>
      <c r="AB32" s="645" t="str">
        <f t="shared" ref="AB32:AB54" si="8">IF(LEFT($Y132,2)="UZ",MID($Y132,3,1),MID($Y132,2,1))</f>
        <v>1</v>
      </c>
      <c r="AC32" s="646" t="e">
        <f>IF(AND($Z32&gt;0,$AA32&gt;=$AD$32),VALUE($AA32),"nicht geeignet")</f>
        <v>#VALUE!</v>
      </c>
      <c r="AD32" s="647" t="e">
        <f>IF(laufrad_form="F",IF((VALUE(qpumpe_bp_zw-qmin_allg)&lt;0)=TRUE,IF(ISNA(INDEX(qpumpe_bp_f_matrix,MATCH(qzulauf/max_qz_qp,F12:F16,1)+1,2))=TRUE,2,INDEX(qpumpe_bp_f_matrix,MATCH(qzulauf/max_qz_qp,F12:F16,1)+1,2)),IF(ISNA(INDEX(qpumpe_bp_f_matrix,MATCH(qzulauf/max_qz_qp,F12:F16,1)+1,2))=TRUE,1,INDEX(qpumpe_bp_f_matrix,MATCH(qzulauf/max_qz_qp,F12:F16,1)+1,2))),IF((VALUE(qpumpe_bp_zw-qmin_allg)&lt;0)=TRUE,IF(ISNA(INDEX(qpumpe_bp_s_matrix,MATCH(qzulauf/max_qz_qp,F17:F18,1)+1,2))=TRUE,2,INDEX(qpumpe_bp_s_matrix,MATCH(qzulauf/max_qz_qp,F17:F18,1)+1,2)),IF(ISNA(INDEX(qpumpe_bp_s_matrix,MATCH(qzulauf/max_qz_qp,F17:F18,1)+1,2))=TRUE,1,INDEX(qpumpe_bp_s_matrix,MATCH(qzulauf/max_qz_qp,F17:F18,1)+1,2))))</f>
        <v>#VALUE!</v>
      </c>
      <c r="AE32" s="528" t="e">
        <f>IF(laufrad_form="F",SMALL(AC32:AC36,1),SMALL(AC37:AC38,1))</f>
        <v>#VALUE!</v>
      </c>
      <c r="AF32" s="401" t="b">
        <f>IF(laufrad_form="F",CHOOSE(Y32,$AM132,$AM133,$AM134,$AM135,$AM136,$AM137,$AM138,$AM139,$AM140,$AM141,$AM142,$AM143,$AM144,$AM145,$AM146,$AM147,$AM148,$AM149,$AM150,$AM151,$AM152,$AM153,$AM154),CHOOSE(Y32,$AM155,$AM156,$AM157,$AM158,$AM159))</f>
        <v>1</v>
      </c>
      <c r="AG32" s="401"/>
      <c r="AH32" s="401"/>
      <c r="AI32" s="401"/>
      <c r="AJ32" s="401"/>
      <c r="AK32" s="401"/>
      <c r="AL32" s="401"/>
      <c r="AM32" s="401"/>
      <c r="AN32" s="401"/>
      <c r="AO32" s="401"/>
      <c r="AP32" s="401"/>
      <c r="AQ32" s="401"/>
      <c r="AR32" s="401"/>
      <c r="AS32" s="401"/>
      <c r="AT32" s="401"/>
      <c r="AU32" s="401"/>
      <c r="AV32" s="401"/>
      <c r="AW32" s="401"/>
      <c r="AX32" s="401"/>
      <c r="AY32" s="401"/>
      <c r="AZ32" s="401"/>
      <c r="BA32" s="401"/>
      <c r="BB32" s="401"/>
      <c r="BC32" s="401"/>
      <c r="BD32" s="401"/>
      <c r="BE32" s="401"/>
      <c r="BF32" s="401"/>
      <c r="BG32" s="401"/>
      <c r="BH32" s="401"/>
      <c r="BI32" s="401"/>
      <c r="BJ32" s="401"/>
      <c r="BK32" s="401"/>
      <c r="BL32" s="401"/>
      <c r="BM32" s="401"/>
      <c r="BN32" s="401"/>
      <c r="BO32" s="401"/>
      <c r="BP32" s="401"/>
      <c r="BQ32" s="401"/>
      <c r="BR32" s="401"/>
      <c r="BS32" s="401"/>
      <c r="BT32" s="401"/>
      <c r="BU32" s="401"/>
      <c r="BV32" s="401"/>
      <c r="BW32" s="401"/>
      <c r="BX32" s="401"/>
      <c r="BY32" s="401"/>
      <c r="BZ32" s="401"/>
      <c r="CA32" s="401"/>
      <c r="CB32" s="401"/>
      <c r="CC32" s="401"/>
      <c r="CD32" s="401"/>
      <c r="CE32" s="401"/>
      <c r="CF32" s="401"/>
      <c r="CG32" s="401"/>
      <c r="CH32" s="401"/>
      <c r="CI32" s="401"/>
      <c r="CJ32" s="401"/>
      <c r="CK32" s="401"/>
      <c r="CL32" s="401"/>
      <c r="CM32" s="401"/>
      <c r="CN32" s="401"/>
      <c r="CO32" s="401"/>
      <c r="CP32" s="401"/>
      <c r="CQ32" s="401"/>
      <c r="CR32" s="401"/>
      <c r="CS32" s="401"/>
      <c r="CT32" s="401"/>
      <c r="CU32" s="401"/>
      <c r="CV32" s="401"/>
      <c r="CW32" s="401"/>
      <c r="CX32" s="401"/>
      <c r="CY32" s="401"/>
      <c r="CZ32" s="401"/>
      <c r="DA32" s="401"/>
      <c r="DB32" s="401"/>
      <c r="DC32" s="401"/>
      <c r="DD32" s="401"/>
      <c r="DE32" s="401"/>
      <c r="DF32" s="401"/>
      <c r="DG32" s="401"/>
      <c r="DH32" s="401"/>
      <c r="DI32" s="401"/>
      <c r="DJ32" s="401"/>
      <c r="DK32" s="401"/>
      <c r="DL32" s="401"/>
      <c r="DM32" s="401"/>
      <c r="DN32" s="401"/>
      <c r="DO32" s="401"/>
      <c r="DP32" s="401"/>
      <c r="DQ32" s="401"/>
      <c r="DR32" s="401"/>
      <c r="DS32" s="401"/>
    </row>
    <row r="33" spans="1:123" ht="15">
      <c r="A33" s="608" t="s">
        <v>109</v>
      </c>
      <c r="B33" s="620"/>
      <c r="C33" s="621" t="str">
        <f>CONCATENATE("Qmax für DN ",dn)</f>
        <v>Qmax für DN 80</v>
      </c>
      <c r="D33" s="622">
        <f>ROUNDUP(VLOOKUP(dn,qmin_qmax_dn,5,1),2)</f>
        <v>42.87</v>
      </c>
      <c r="E33" s="648" t="b">
        <f>ISTEXT(D38)</f>
        <v>1</v>
      </c>
      <c r="F33" s="649">
        <f>qpumpe_bp_zw-qmin_allg</f>
        <v>11.4</v>
      </c>
      <c r="G33" s="401"/>
      <c r="H33" s="401"/>
      <c r="I33" s="650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651"/>
      <c r="X33" s="402" t="e">
        <f t="shared" si="4"/>
        <v>#VALUE!</v>
      </c>
      <c r="Y33" s="402">
        <f t="shared" si="5"/>
        <v>1</v>
      </c>
      <c r="Z33" s="402">
        <f t="shared" si="6"/>
        <v>2</v>
      </c>
      <c r="AA33" s="644">
        <f t="shared" si="7"/>
        <v>2</v>
      </c>
      <c r="AB33" s="645" t="str">
        <f t="shared" si="8"/>
        <v>1</v>
      </c>
      <c r="AC33" s="646" t="e">
        <f t="shared" ref="AC33:AC38" si="9">IF(AND($Z33&gt;0,$AA33&gt;=$AD$32),VALUE($AA33),"nicht geeignet")</f>
        <v>#VALUE!</v>
      </c>
      <c r="AD33" s="401"/>
      <c r="AE33" s="401"/>
      <c r="AF33" s="528" t="str">
        <f>IF(laufrad_form="F",CHOOSE(Y32,AB32,AB33,AB34,AB35,AB36,AB37,AB38,AB39,AB40,AB41,AB42,AB43,AB44,AB45,AB46,AB47,AB48,AB49,AB50,AB51,AB52,AB53,AB54),CHOOSE(Y32,AB55,AB56,AB57,AB58,AB59))</f>
        <v>1</v>
      </c>
      <c r="AG33" s="401"/>
      <c r="AH33" s="401"/>
      <c r="AI33" s="401"/>
      <c r="AJ33" s="401"/>
      <c r="AK33" s="401"/>
      <c r="AL33" s="401"/>
      <c r="AM33" s="401"/>
      <c r="AN33" s="401"/>
      <c r="AO33" s="401"/>
      <c r="AP33" s="401"/>
      <c r="AQ33" s="401"/>
      <c r="AR33" s="401"/>
      <c r="AS33" s="401"/>
      <c r="AT33" s="401"/>
      <c r="AU33" s="401"/>
      <c r="AV33" s="401"/>
      <c r="AW33" s="401"/>
      <c r="AX33" s="401"/>
      <c r="AY33" s="401"/>
      <c r="AZ33" s="401"/>
      <c r="BA33" s="401"/>
      <c r="BB33" s="401"/>
      <c r="BC33" s="401"/>
      <c r="BD33" s="401"/>
      <c r="BE33" s="401"/>
      <c r="BF33" s="401"/>
      <c r="BG33" s="401"/>
      <c r="BH33" s="401"/>
      <c r="BI33" s="401"/>
      <c r="BJ33" s="401"/>
      <c r="BK33" s="401"/>
      <c r="BL33" s="401"/>
      <c r="BM33" s="401"/>
      <c r="BN33" s="401"/>
      <c r="BO33" s="401"/>
      <c r="BP33" s="401"/>
      <c r="BQ33" s="401"/>
      <c r="BR33" s="401"/>
      <c r="BS33" s="401"/>
      <c r="BT33" s="401"/>
      <c r="BU33" s="401"/>
      <c r="BV33" s="401"/>
      <c r="BW33" s="401"/>
      <c r="BX33" s="401"/>
      <c r="BY33" s="401"/>
      <c r="BZ33" s="401"/>
      <c r="CA33" s="401"/>
      <c r="CB33" s="401"/>
      <c r="CC33" s="401"/>
      <c r="CD33" s="401"/>
      <c r="CE33" s="401"/>
      <c r="CF33" s="401"/>
      <c r="CG33" s="401"/>
      <c r="CH33" s="401"/>
      <c r="CI33" s="401"/>
      <c r="CJ33" s="401"/>
      <c r="CK33" s="401"/>
      <c r="CL33" s="401"/>
      <c r="CM33" s="401"/>
      <c r="CN33" s="401"/>
      <c r="CO33" s="401"/>
      <c r="CP33" s="401"/>
      <c r="CQ33" s="401"/>
      <c r="CR33" s="401"/>
      <c r="CS33" s="401"/>
      <c r="CT33" s="401"/>
      <c r="CU33" s="401"/>
      <c r="CV33" s="401"/>
      <c r="CW33" s="401"/>
      <c r="CX33" s="401"/>
      <c r="CY33" s="401"/>
      <c r="CZ33" s="401"/>
      <c r="DA33" s="401"/>
      <c r="DB33" s="401"/>
      <c r="DC33" s="401"/>
      <c r="DD33" s="401"/>
      <c r="DE33" s="401"/>
      <c r="DF33" s="401"/>
      <c r="DG33" s="401"/>
      <c r="DH33" s="401"/>
      <c r="DI33" s="401"/>
      <c r="DJ33" s="401"/>
      <c r="DK33" s="401"/>
      <c r="DL33" s="401"/>
      <c r="DM33" s="401"/>
      <c r="DN33" s="401"/>
      <c r="DO33" s="401"/>
      <c r="DP33" s="401"/>
      <c r="DQ33" s="401"/>
      <c r="DR33" s="401"/>
      <c r="DS33" s="401"/>
    </row>
    <row r="34" spans="1:123" ht="15">
      <c r="A34" s="401"/>
      <c r="B34" s="624"/>
      <c r="C34" s="552" t="str">
        <f>CONCATENATE("Qpumpe bei Förderhöhe"," ",fhoehe," m"," Zwischenwert")</f>
        <v>Qpumpe bei Förderhöhe 0 m Zwischenwert</v>
      </c>
      <c r="D34" s="652">
        <f>IF(laufrad_form="F",ROUNDDOWN(VLOOKUP(CONCATENATE("Q F",D31),qpumpe_bp_f_matrix,6,1),2),ROUNDDOWN(VLOOKUP(CONCATENATE("Q S",D31),qpumpe_bp_s_matrix,6,1),2))</f>
        <v>24</v>
      </c>
      <c r="E34" s="653" t="e">
        <f>IF(qpumpe_bp&gt;qmax_allg,CONCATENATE("DN",dn," ",meldung_24)," ")</f>
        <v>#VALUE!</v>
      </c>
      <c r="F34" s="609" t="e">
        <f>IF((VALUE(qpumpe_bp_zw-qmin_allg)&lt;0)=TRUE,IF(ISNA(INDEX(qpumpe_bp_f_matrix,MATCH(qzulauf/max_qz_qp,F12:F16,1)+1,2))=TRUE,2,INDEX(qpumpe_bp_f_matrix,MATCH(qzulauf/max_qz_qp,F12:F16,1)+1,2)),IF(ISNA(INDEX(qpumpe_bp_f_matrix,MATCH(qzulauf/max_qz_qp,F12:F16,1)+1,2))=TRUE,1,INDEX(qpumpe_bp_f_matrix,MATCH(qzulauf/max_qz_qp,F12:F16,1)+1,2)))</f>
        <v>#VALUE!</v>
      </c>
      <c r="G34" s="401"/>
      <c r="H34" s="401"/>
      <c r="I34" s="598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654"/>
      <c r="X34" s="402" t="e">
        <f t="shared" si="4"/>
        <v>#VALUE!</v>
      </c>
      <c r="Y34" s="402">
        <f t="shared" si="5"/>
        <v>1</v>
      </c>
      <c r="Z34" s="402">
        <f t="shared" si="6"/>
        <v>6</v>
      </c>
      <c r="AA34" s="644">
        <f t="shared" si="7"/>
        <v>3</v>
      </c>
      <c r="AB34" s="645" t="str">
        <f t="shared" si="8"/>
        <v>2</v>
      </c>
      <c r="AC34" s="646" t="e">
        <f t="shared" si="9"/>
        <v>#VALUE!</v>
      </c>
      <c r="AD34" s="401"/>
      <c r="AE34" s="401"/>
      <c r="AF34" s="401"/>
      <c r="AG34" s="401"/>
      <c r="AH34" s="401"/>
      <c r="AI34" s="401"/>
      <c r="AJ34" s="401"/>
      <c r="AK34" s="401"/>
      <c r="AL34" s="401"/>
      <c r="AM34" s="401"/>
      <c r="AN34" s="401"/>
      <c r="AO34" s="401"/>
      <c r="AP34" s="401"/>
      <c r="AQ34" s="401"/>
      <c r="AR34" s="401"/>
      <c r="AS34" s="401"/>
      <c r="AT34" s="401"/>
      <c r="AU34" s="401"/>
      <c r="AV34" s="401"/>
      <c r="AW34" s="401"/>
      <c r="AX34" s="401"/>
      <c r="AY34" s="401"/>
      <c r="AZ34" s="401"/>
      <c r="BA34" s="401"/>
      <c r="BB34" s="401"/>
      <c r="BC34" s="401"/>
      <c r="BD34" s="401"/>
      <c r="BE34" s="401"/>
      <c r="BF34" s="401"/>
      <c r="BG34" s="401"/>
      <c r="BH34" s="401"/>
      <c r="BI34" s="401"/>
      <c r="BJ34" s="401"/>
      <c r="BK34" s="401"/>
      <c r="BL34" s="401"/>
      <c r="BM34" s="401"/>
      <c r="BN34" s="401"/>
      <c r="BO34" s="401"/>
      <c r="BP34" s="401"/>
      <c r="BQ34" s="401"/>
      <c r="BR34" s="401"/>
      <c r="BS34" s="401"/>
      <c r="BT34" s="401"/>
      <c r="BU34" s="401"/>
      <c r="BV34" s="401"/>
      <c r="BW34" s="401"/>
      <c r="BX34" s="401"/>
      <c r="BY34" s="401"/>
      <c r="BZ34" s="401"/>
      <c r="CA34" s="401"/>
      <c r="CB34" s="401"/>
      <c r="CC34" s="401"/>
      <c r="CD34" s="401"/>
      <c r="CE34" s="401"/>
      <c r="CF34" s="401"/>
      <c r="CG34" s="401"/>
      <c r="CH34" s="401"/>
      <c r="CI34" s="401"/>
      <c r="CJ34" s="401"/>
      <c r="CK34" s="401"/>
      <c r="CL34" s="401"/>
      <c r="CM34" s="401"/>
      <c r="CN34" s="401"/>
      <c r="CO34" s="401"/>
      <c r="CP34" s="401"/>
      <c r="CQ34" s="401"/>
      <c r="CR34" s="401"/>
      <c r="CS34" s="401"/>
      <c r="CT34" s="401"/>
      <c r="CU34" s="401"/>
      <c r="CV34" s="401"/>
      <c r="CW34" s="401"/>
      <c r="CX34" s="401"/>
      <c r="CY34" s="401"/>
      <c r="CZ34" s="401"/>
      <c r="DA34" s="401"/>
      <c r="DB34" s="401"/>
      <c r="DC34" s="401"/>
      <c r="DD34" s="401"/>
      <c r="DE34" s="401"/>
      <c r="DF34" s="401"/>
      <c r="DG34" s="401"/>
      <c r="DH34" s="401"/>
      <c r="DI34" s="401"/>
      <c r="DJ34" s="401"/>
      <c r="DK34" s="401"/>
      <c r="DL34" s="401"/>
      <c r="DM34" s="401"/>
      <c r="DN34" s="401"/>
      <c r="DO34" s="401"/>
      <c r="DP34" s="401"/>
      <c r="DQ34" s="401"/>
      <c r="DR34" s="401"/>
      <c r="DS34" s="401"/>
    </row>
    <row r="35" spans="1:123" ht="15">
      <c r="A35" s="401"/>
      <c r="B35" s="624"/>
      <c r="C35" s="552" t="s">
        <v>103</v>
      </c>
      <c r="D35" s="655" t="e">
        <f>laufrad_ist_volumen</f>
        <v>#VALUE!</v>
      </c>
      <c r="F35" s="656"/>
      <c r="G35" s="657"/>
      <c r="H35" s="401"/>
      <c r="I35" s="598"/>
      <c r="J35" s="401"/>
      <c r="K35" s="658" t="s">
        <v>722</v>
      </c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654"/>
      <c r="X35" s="402" t="e">
        <f t="shared" si="4"/>
        <v>#VALUE!</v>
      </c>
      <c r="Y35" s="402">
        <f t="shared" si="5"/>
        <v>1</v>
      </c>
      <c r="Z35" s="402">
        <f t="shared" si="6"/>
        <v>6</v>
      </c>
      <c r="AA35" s="644">
        <f t="shared" si="7"/>
        <v>4</v>
      </c>
      <c r="AB35" s="645" t="str">
        <f t="shared" si="8"/>
        <v>1</v>
      </c>
      <c r="AC35" s="646" t="e">
        <f t="shared" si="9"/>
        <v>#VALUE!</v>
      </c>
      <c r="AD35" s="401"/>
      <c r="AE35" s="401"/>
      <c r="AF35" s="401"/>
      <c r="AG35" s="401"/>
      <c r="AH35" s="401"/>
      <c r="AI35" s="401"/>
      <c r="AJ35" s="401"/>
      <c r="AK35" s="401"/>
      <c r="AL35" s="401"/>
      <c r="AM35" s="401"/>
      <c r="AN35" s="401"/>
      <c r="AO35" s="401"/>
      <c r="AP35" s="401"/>
      <c r="AQ35" s="401"/>
      <c r="AR35" s="401"/>
      <c r="AS35" s="401"/>
      <c r="AT35" s="401"/>
      <c r="AU35" s="401"/>
      <c r="AV35" s="401"/>
      <c r="AW35" s="401"/>
      <c r="AX35" s="401"/>
      <c r="AY35" s="401"/>
      <c r="AZ35" s="401"/>
      <c r="BA35" s="401"/>
      <c r="BB35" s="401"/>
      <c r="BC35" s="401"/>
      <c r="BD35" s="401"/>
      <c r="BE35" s="401"/>
      <c r="BF35" s="401"/>
      <c r="BG35" s="401"/>
      <c r="BH35" s="401"/>
      <c r="BI35" s="401"/>
      <c r="BJ35" s="401"/>
      <c r="BK35" s="401"/>
      <c r="BL35" s="401"/>
      <c r="BM35" s="401"/>
      <c r="BN35" s="401"/>
      <c r="BO35" s="401"/>
      <c r="BP35" s="401"/>
      <c r="BQ35" s="401"/>
      <c r="BR35" s="401"/>
      <c r="BS35" s="401"/>
      <c r="BT35" s="401"/>
      <c r="BU35" s="401"/>
      <c r="BV35" s="401"/>
      <c r="BW35" s="401"/>
      <c r="BX35" s="401"/>
      <c r="BY35" s="401"/>
      <c r="BZ35" s="401"/>
      <c r="CA35" s="401"/>
      <c r="CB35" s="401"/>
      <c r="CC35" s="401"/>
      <c r="CD35" s="401"/>
      <c r="CE35" s="401"/>
      <c r="CF35" s="401"/>
      <c r="CG35" s="401"/>
      <c r="CH35" s="401"/>
      <c r="CI35" s="401"/>
      <c r="CJ35" s="401"/>
      <c r="CK35" s="401"/>
      <c r="CL35" s="401"/>
      <c r="CM35" s="401"/>
      <c r="CN35" s="401"/>
      <c r="CO35" s="401"/>
      <c r="CP35" s="401"/>
      <c r="CQ35" s="401"/>
      <c r="CR35" s="401"/>
      <c r="CS35" s="401"/>
      <c r="CT35" s="401"/>
      <c r="CU35" s="401"/>
      <c r="CV35" s="401"/>
      <c r="CW35" s="401"/>
      <c r="CX35" s="401"/>
      <c r="CY35" s="401"/>
      <c r="CZ35" s="401"/>
      <c r="DA35" s="401"/>
      <c r="DB35" s="401"/>
      <c r="DC35" s="401"/>
      <c r="DD35" s="401"/>
      <c r="DE35" s="401"/>
      <c r="DF35" s="401"/>
      <c r="DG35" s="401"/>
      <c r="DH35" s="401"/>
      <c r="DI35" s="401"/>
      <c r="DJ35" s="401"/>
      <c r="DK35" s="401"/>
      <c r="DL35" s="401"/>
      <c r="DM35" s="401"/>
      <c r="DN35" s="401"/>
      <c r="DO35" s="401"/>
      <c r="DP35" s="401"/>
      <c r="DQ35" s="401"/>
      <c r="DR35" s="401"/>
      <c r="DS35" s="401"/>
    </row>
    <row r="36" spans="1:123" ht="15">
      <c r="A36" s="401"/>
      <c r="B36" s="624"/>
      <c r="C36" s="618" t="s">
        <v>21</v>
      </c>
      <c r="D36" s="659" t="str">
        <f>IF(OR(anlagen_art_duo="ja",anlagen_art_duo="tak",anlagen_art_duo="yes"),"UZ",IF(OR(anlagen_art_duo="nein",anlagen_art_duo="nie",anlagen_art_duo="no"),"U","U"))</f>
        <v>U</v>
      </c>
      <c r="E36" s="660"/>
      <c r="F36" s="656"/>
      <c r="G36" s="401"/>
      <c r="H36" s="401"/>
      <c r="I36" s="598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654"/>
      <c r="X36" s="402" t="e">
        <f t="shared" si="4"/>
        <v>#VALUE!</v>
      </c>
      <c r="Y36" s="402">
        <f t="shared" si="5"/>
        <v>1</v>
      </c>
      <c r="Z36" s="402">
        <f t="shared" si="6"/>
        <v>6</v>
      </c>
      <c r="AA36" s="644">
        <f t="shared" si="7"/>
        <v>5</v>
      </c>
      <c r="AB36" s="645" t="str">
        <f t="shared" si="8"/>
        <v>2</v>
      </c>
      <c r="AC36" s="646" t="e">
        <f t="shared" si="9"/>
        <v>#VALUE!</v>
      </c>
      <c r="AD36" s="401"/>
      <c r="AE36" s="401"/>
      <c r="AF36" s="401"/>
      <c r="AG36" s="401"/>
      <c r="AH36" s="401"/>
      <c r="AI36" s="401"/>
      <c r="AJ36" s="401"/>
      <c r="AK36" s="401"/>
      <c r="AL36" s="401"/>
      <c r="AM36" s="401"/>
      <c r="AN36" s="401"/>
      <c r="AO36" s="401"/>
      <c r="AP36" s="401"/>
      <c r="AQ36" s="401"/>
      <c r="AR36" s="401"/>
      <c r="AS36" s="401"/>
      <c r="AT36" s="401"/>
      <c r="AU36" s="401"/>
      <c r="AV36" s="401"/>
      <c r="AW36" s="401"/>
      <c r="AX36" s="401"/>
      <c r="AY36" s="401"/>
      <c r="AZ36" s="401"/>
      <c r="BA36" s="401"/>
      <c r="BB36" s="401"/>
      <c r="BC36" s="401"/>
      <c r="BD36" s="401"/>
      <c r="BE36" s="401"/>
      <c r="BF36" s="401"/>
      <c r="BG36" s="401"/>
      <c r="BH36" s="401"/>
      <c r="BI36" s="401"/>
      <c r="BJ36" s="401"/>
      <c r="BK36" s="401"/>
      <c r="BL36" s="401"/>
      <c r="BM36" s="401"/>
      <c r="BN36" s="401"/>
      <c r="BO36" s="401"/>
      <c r="BP36" s="401"/>
      <c r="BQ36" s="401"/>
      <c r="BR36" s="401"/>
      <c r="BS36" s="401"/>
      <c r="BT36" s="401"/>
      <c r="BU36" s="401"/>
      <c r="BV36" s="401"/>
      <c r="BW36" s="401"/>
      <c r="BX36" s="401"/>
      <c r="BY36" s="401"/>
      <c r="BZ36" s="401"/>
      <c r="CA36" s="401"/>
      <c r="CB36" s="401"/>
      <c r="CC36" s="401"/>
      <c r="CD36" s="401"/>
      <c r="CE36" s="401"/>
      <c r="CF36" s="401"/>
      <c r="CG36" s="401"/>
      <c r="CH36" s="401"/>
      <c r="CI36" s="401"/>
      <c r="CJ36" s="401"/>
      <c r="CK36" s="401"/>
      <c r="CL36" s="401"/>
      <c r="CM36" s="401"/>
      <c r="CN36" s="401"/>
      <c r="CO36" s="401"/>
      <c r="CP36" s="401"/>
      <c r="CQ36" s="401"/>
      <c r="CR36" s="401"/>
      <c r="CS36" s="401"/>
      <c r="CT36" s="401"/>
      <c r="CU36" s="401"/>
      <c r="CV36" s="401"/>
      <c r="CW36" s="401"/>
      <c r="CX36" s="401"/>
      <c r="CY36" s="401"/>
      <c r="CZ36" s="401"/>
      <c r="DA36" s="401"/>
      <c r="DB36" s="401"/>
      <c r="DC36" s="401"/>
      <c r="DD36" s="401"/>
      <c r="DE36" s="401"/>
      <c r="DF36" s="401"/>
      <c r="DG36" s="401"/>
      <c r="DH36" s="401"/>
      <c r="DI36" s="401"/>
      <c r="DJ36" s="401"/>
      <c r="DK36" s="401"/>
      <c r="DL36" s="401"/>
      <c r="DM36" s="401"/>
      <c r="DN36" s="401"/>
      <c r="DO36" s="401"/>
      <c r="DP36" s="401"/>
      <c r="DQ36" s="401"/>
      <c r="DR36" s="401"/>
      <c r="DS36" s="401"/>
    </row>
    <row r="37" spans="1:123" ht="15">
      <c r="A37" s="401"/>
      <c r="B37" s="624"/>
      <c r="C37" s="661" t="str">
        <f>CONCATENATE("Qpumpe bei FH"," ",fhoehe," m")</f>
        <v>Qpumpe bei FH 0 m</v>
      </c>
      <c r="D37" s="528" t="e">
        <f>IF(laufrad_form="F",IF(qpumpe_bp_zw&gt;MIN(ROUNDDOWN(VLOOKUP(CONCATENATE("Kennlinie F",D35),kennlinie_laufrad_f_matrix,5,1),2),qmax_allg),qpumpe_bp_zw,IF(qpumpe_bp_zw&lt;qmin_allg,ROUNDDOWN(VLOOKUP(CONCATENATE("Q F",D35),qpumpe_bp_f_matrix,6,1),2),IF(VALUE(qzulauf/qpumpe_bp_zw)&gt;max_qz_qp,ROUNDDOWN(VLOOKUP(CONCATENATE("Q F",D35),qpumpe_bp_f_matrix,6,1),2),ROUNDDOWN(qpumpe_bp_zw,2)))),IF(qpumpe_bp_zw&gt;MIN(ROUNDDOWN(VLOOKUP(CONCATENATE("Kennlinie S",D35),kennlinie_laufrad_s_matrix,5,1),2),qmax_allg),qpumpe_bp_zw,IF(qpumpe_bp_zw&lt;qmin_allg,ROUNDDOWN(VLOOKUP(CONCATENATE("Q S",D35),qpumpe_bp_s_matrix,6,1),2),IF(VALUE(qzulauf/qpumpe_bp_zw)&gt;max_qz_qp,ROUNDDOWN(VLOOKUP(CONCATENATE("Q S",D35),qpumpe_bp_s_matrix,6,1),2),ROUNDDOWN(qpumpe_bp_zw,2)))))</f>
        <v>#VALUE!</v>
      </c>
      <c r="E37" s="662" t="s">
        <v>92</v>
      </c>
      <c r="F37" s="663" t="e">
        <f>CONCATENATE("Qmax für F",D35)</f>
        <v>#VALUE!</v>
      </c>
      <c r="G37" s="662" t="s">
        <v>90</v>
      </c>
      <c r="H37" s="664" t="s">
        <v>91</v>
      </c>
      <c r="I37" s="664" t="s">
        <v>222</v>
      </c>
      <c r="J37" s="664" t="e">
        <f>CONCATENATE("Hmin für F",D35)</f>
        <v>#VALUE!</v>
      </c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2" t="e">
        <f t="shared" si="4"/>
        <v>#VALUE!</v>
      </c>
      <c r="Y37" s="402">
        <f t="shared" si="5"/>
        <v>1</v>
      </c>
      <c r="Z37" s="402">
        <f t="shared" si="6"/>
        <v>3</v>
      </c>
      <c r="AA37" s="644" t="str">
        <f t="shared" si="7"/>
        <v>1</v>
      </c>
      <c r="AB37" s="645" t="str">
        <f t="shared" si="8"/>
        <v>3</v>
      </c>
      <c r="AC37" s="646" t="e">
        <f t="shared" si="9"/>
        <v>#VALUE!</v>
      </c>
      <c r="AD37" s="401"/>
      <c r="AE37" s="401"/>
      <c r="AF37" s="401"/>
      <c r="AG37" s="401"/>
      <c r="AH37" s="401"/>
      <c r="AI37" s="401"/>
      <c r="AJ37" s="401"/>
      <c r="AK37" s="401"/>
      <c r="AL37" s="401"/>
      <c r="AM37" s="401"/>
      <c r="AN37" s="401"/>
      <c r="AO37" s="401"/>
      <c r="AP37" s="401"/>
      <c r="AQ37" s="401"/>
      <c r="AR37" s="401"/>
      <c r="AS37" s="401"/>
      <c r="AT37" s="401"/>
      <c r="AU37" s="401"/>
      <c r="AV37" s="401"/>
      <c r="AW37" s="401"/>
      <c r="AX37" s="401"/>
      <c r="AY37" s="401"/>
      <c r="AZ37" s="401"/>
      <c r="BA37" s="401"/>
      <c r="BB37" s="401"/>
      <c r="BC37" s="401"/>
      <c r="BD37" s="401"/>
      <c r="BE37" s="401"/>
      <c r="BF37" s="401"/>
      <c r="BG37" s="401"/>
      <c r="BH37" s="401"/>
      <c r="BI37" s="401"/>
      <c r="BJ37" s="401"/>
      <c r="BK37" s="401"/>
      <c r="BL37" s="401"/>
      <c r="BM37" s="401"/>
      <c r="BN37" s="401"/>
      <c r="BO37" s="401"/>
      <c r="BP37" s="401"/>
      <c r="BQ37" s="401"/>
      <c r="BR37" s="401"/>
      <c r="BS37" s="401"/>
      <c r="BT37" s="401"/>
      <c r="BU37" s="401"/>
      <c r="BV37" s="401"/>
      <c r="BW37" s="401"/>
      <c r="BX37" s="401"/>
      <c r="BY37" s="401"/>
      <c r="BZ37" s="401"/>
      <c r="CA37" s="401"/>
      <c r="CB37" s="401"/>
      <c r="CC37" s="401"/>
      <c r="CD37" s="401"/>
      <c r="CE37" s="401"/>
      <c r="CF37" s="401"/>
      <c r="CG37" s="401"/>
      <c r="CH37" s="401"/>
      <c r="CI37" s="401"/>
      <c r="CJ37" s="401"/>
      <c r="CK37" s="401"/>
      <c r="CL37" s="401"/>
      <c r="CM37" s="401"/>
      <c r="CN37" s="401"/>
      <c r="CO37" s="401"/>
      <c r="CP37" s="401"/>
      <c r="CQ37" s="401"/>
      <c r="CR37" s="401"/>
      <c r="CS37" s="401"/>
      <c r="CT37" s="401"/>
      <c r="CU37" s="401"/>
      <c r="CV37" s="401"/>
      <c r="CW37" s="401"/>
      <c r="CX37" s="401"/>
      <c r="CY37" s="401"/>
      <c r="CZ37" s="401"/>
      <c r="DA37" s="401"/>
      <c r="DB37" s="401"/>
      <c r="DC37" s="401"/>
      <c r="DD37" s="401"/>
      <c r="DE37" s="401"/>
      <c r="DF37" s="401"/>
      <c r="DG37" s="401"/>
      <c r="DH37" s="401"/>
      <c r="DI37" s="401"/>
      <c r="DJ37" s="401"/>
      <c r="DK37" s="401"/>
      <c r="DL37" s="401"/>
      <c r="DM37" s="401"/>
      <c r="DN37" s="401"/>
      <c r="DO37" s="401"/>
      <c r="DP37" s="401"/>
      <c r="DQ37" s="401"/>
      <c r="DR37" s="401"/>
      <c r="DS37" s="401"/>
    </row>
    <row r="38" spans="1:123" ht="15">
      <c r="A38" s="401"/>
      <c r="B38" s="624"/>
      <c r="C38" s="665" t="s">
        <v>22</v>
      </c>
      <c r="D38" s="666" t="str">
        <f>IF(ISNA(anlage_ermittelt)=TRUE,meldung_3,IF(ISTEXT(qpumpe_bp)=TRUE,meldung_72,anlage_ermittelt))</f>
        <v>Angaben prüfen!</v>
      </c>
      <c r="E38" s="667" t="str">
        <f>IF(ISNA(VLOOKUP(CONCATENATE(D38,"_",spannung,IF(anlage_werkstoff="Standard","","_C")),anlage_idnr_bezeichnug,4,FALSE))=TRUE,"!!!",VLOOKUP(CONCATENATE(D38,"_",spannung,IF(anlage_werkstoff="Standard","","_C")),anlage_idnr_bezeichnug,4,FALSE))</f>
        <v>!!!</v>
      </c>
      <c r="F38" s="668" t="e">
        <f>ROUNDDOWN(VLOOKUP(CONCATENATE("Kennlinie F",D35),kennlinie_laufrad_f_matrix,5,1),2)</f>
        <v>#VALUE!</v>
      </c>
      <c r="G38" s="669" t="e">
        <f>VLOOKUP(CONCATENATE(D38,"_",spannung,IF(anlage_werkstoff="Standard","","_C")),anlage_idnr_bezeichnug,2,0)</f>
        <v>#N/A</v>
      </c>
      <c r="H38" s="670" t="e">
        <f>VLOOKUP(id_no,anlage_preis,2,0)</f>
        <v>#N/A</v>
      </c>
      <c r="I38" s="670" t="e">
        <f>IF(OR(VALUE(D35)=1,VALUE(D35)=2,)=TRUE,name_mc,name_c)</f>
        <v>#VALUE!</v>
      </c>
      <c r="J38" s="668" t="e">
        <f>IF(laufrad_form="F",ROUNDDOWN(VLOOKUP(CONCATENATE("Kennlinie F",D35),kennlinie_laufrad_f_matrix,6,1),2),ROUNDDOWN(VLOOKUP(CONCATENATE("Kennlinie S",D35),kennlinie_laufrad_s_matrix,6,1),2))</f>
        <v>#VALUE!</v>
      </c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2" t="e">
        <f t="shared" si="4"/>
        <v>#VALUE!</v>
      </c>
      <c r="Y38" s="402">
        <f t="shared" si="5"/>
        <v>1</v>
      </c>
      <c r="Z38" s="402">
        <f t="shared" si="6"/>
        <v>2</v>
      </c>
      <c r="AA38" s="644" t="str">
        <f t="shared" si="7"/>
        <v>2</v>
      </c>
      <c r="AB38" s="645" t="str">
        <f t="shared" si="8"/>
        <v>4</v>
      </c>
      <c r="AC38" s="646" t="e">
        <f t="shared" si="9"/>
        <v>#VALUE!</v>
      </c>
      <c r="AD38" s="401"/>
      <c r="AE38" s="401"/>
      <c r="AF38" s="401"/>
      <c r="AG38" s="401"/>
      <c r="AH38" s="401"/>
      <c r="AI38" s="401"/>
      <c r="AJ38" s="401"/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1"/>
      <c r="CA38" s="401"/>
      <c r="CB38" s="401"/>
      <c r="CC38" s="401"/>
      <c r="CD38" s="401"/>
      <c r="CE38" s="401"/>
      <c r="CF38" s="401"/>
      <c r="CG38" s="401"/>
      <c r="CH38" s="401"/>
      <c r="CI38" s="401"/>
      <c r="CJ38" s="401"/>
      <c r="CK38" s="401"/>
      <c r="CL38" s="401"/>
      <c r="CM38" s="401"/>
      <c r="CN38" s="401"/>
      <c r="CO38" s="401"/>
      <c r="CP38" s="401"/>
      <c r="CQ38" s="401"/>
      <c r="CR38" s="401"/>
      <c r="CS38" s="401"/>
      <c r="CT38" s="401"/>
      <c r="CU38" s="401"/>
      <c r="CV38" s="401"/>
      <c r="CW38" s="401"/>
      <c r="CX38" s="401"/>
      <c r="CY38" s="401"/>
      <c r="CZ38" s="401"/>
      <c r="DA38" s="401"/>
      <c r="DB38" s="401"/>
      <c r="DC38" s="401"/>
      <c r="DD38" s="401"/>
      <c r="DE38" s="401"/>
      <c r="DF38" s="401"/>
      <c r="DG38" s="401"/>
      <c r="DH38" s="401"/>
      <c r="DI38" s="401"/>
      <c r="DJ38" s="401"/>
      <c r="DK38" s="401"/>
      <c r="DL38" s="401"/>
      <c r="DM38" s="401"/>
      <c r="DN38" s="401"/>
      <c r="DO38" s="401"/>
      <c r="DP38" s="401"/>
      <c r="DQ38" s="401"/>
      <c r="DR38" s="401"/>
      <c r="DS38" s="401"/>
    </row>
    <row r="39" spans="1:123" ht="15">
      <c r="A39" s="401"/>
      <c r="B39" s="624"/>
      <c r="C39" s="401"/>
      <c r="D39" s="528"/>
      <c r="E39" s="401"/>
      <c r="F39" s="401"/>
      <c r="G39" s="401"/>
      <c r="H39" s="401"/>
      <c r="I39" s="598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2"/>
      <c r="Y39" s="569"/>
      <c r="Z39" s="569"/>
      <c r="AA39" s="569"/>
      <c r="AB39" s="645" t="str">
        <f t="shared" si="8"/>
        <v>5</v>
      </c>
      <c r="AC39" s="401"/>
      <c r="AD39" s="401"/>
      <c r="AE39" s="401"/>
      <c r="AF39" s="401"/>
      <c r="AG39" s="401"/>
      <c r="AH39" s="401"/>
      <c r="AI39" s="401"/>
      <c r="AJ39" s="401"/>
      <c r="AK39" s="401"/>
      <c r="AL39" s="401"/>
      <c r="AM39" s="401"/>
      <c r="AN39" s="401"/>
      <c r="AO39" s="401"/>
      <c r="AP39" s="401"/>
      <c r="AQ39" s="401"/>
      <c r="AR39" s="401"/>
      <c r="AS39" s="401"/>
      <c r="AT39" s="401"/>
      <c r="AU39" s="401"/>
      <c r="AV39" s="401"/>
      <c r="AW39" s="401"/>
      <c r="AX39" s="401"/>
      <c r="AY39" s="401"/>
      <c r="AZ39" s="401"/>
      <c r="BA39" s="401"/>
      <c r="BB39" s="401"/>
      <c r="BC39" s="401"/>
      <c r="BD39" s="401"/>
      <c r="BE39" s="401"/>
      <c r="BF39" s="401"/>
      <c r="BG39" s="401"/>
      <c r="BH39" s="401"/>
      <c r="BI39" s="401"/>
      <c r="BJ39" s="401"/>
      <c r="BK39" s="401"/>
      <c r="BL39" s="401"/>
      <c r="BM39" s="401"/>
      <c r="BN39" s="401"/>
      <c r="BO39" s="401"/>
      <c r="BP39" s="401"/>
      <c r="BQ39" s="401"/>
      <c r="BR39" s="401"/>
      <c r="BS39" s="401"/>
      <c r="BT39" s="401"/>
      <c r="BU39" s="401"/>
      <c r="BV39" s="401"/>
      <c r="BW39" s="401"/>
      <c r="BX39" s="401"/>
      <c r="BY39" s="401"/>
      <c r="BZ39" s="401"/>
      <c r="CA39" s="401"/>
      <c r="CB39" s="401"/>
      <c r="CC39" s="401"/>
      <c r="CD39" s="401"/>
      <c r="CE39" s="401"/>
      <c r="CF39" s="401"/>
      <c r="CG39" s="401"/>
      <c r="CH39" s="401"/>
      <c r="CI39" s="401"/>
      <c r="CJ39" s="401"/>
      <c r="CK39" s="401"/>
      <c r="CL39" s="401"/>
      <c r="CM39" s="401"/>
      <c r="CN39" s="401"/>
      <c r="CO39" s="401"/>
      <c r="CP39" s="401"/>
      <c r="CQ39" s="401"/>
      <c r="CR39" s="401"/>
      <c r="CS39" s="401"/>
      <c r="CT39" s="401"/>
      <c r="CU39" s="401"/>
      <c r="CV39" s="401"/>
      <c r="CW39" s="401"/>
      <c r="CX39" s="401"/>
      <c r="CY39" s="401"/>
      <c r="CZ39" s="401"/>
      <c r="DA39" s="401"/>
      <c r="DB39" s="401"/>
      <c r="DC39" s="401"/>
      <c r="DD39" s="401"/>
      <c r="DE39" s="401"/>
      <c r="DF39" s="401"/>
      <c r="DG39" s="401"/>
      <c r="DH39" s="401"/>
      <c r="DI39" s="401"/>
      <c r="DJ39" s="401"/>
      <c r="DK39" s="401"/>
      <c r="DL39" s="401"/>
      <c r="DM39" s="401"/>
      <c r="DN39" s="401"/>
      <c r="DO39" s="401"/>
      <c r="DP39" s="401"/>
      <c r="DQ39" s="401"/>
      <c r="DR39" s="401"/>
      <c r="DS39" s="401"/>
    </row>
    <row r="40" spans="1:123" ht="14.25">
      <c r="A40" s="671" t="e">
        <f>CONCATENATE("Fliessgeschwindigkeit für Q=",qpumpe_bp)</f>
        <v>#VALUE!</v>
      </c>
      <c r="B40" s="620"/>
      <c r="C40" s="621" t="str">
        <f>CONCATENATE("DN= ",dn)</f>
        <v>DN= 80</v>
      </c>
      <c r="D40" s="672" t="e">
        <f>4*qpumpe_bp/((dn*10^(-3))^2*PI())/3600</f>
        <v>#VALUE!</v>
      </c>
      <c r="E40" s="673" t="s">
        <v>128</v>
      </c>
      <c r="F40" s="674" t="s">
        <v>132</v>
      </c>
      <c r="G40" s="620"/>
      <c r="H40" s="675" t="s">
        <v>386</v>
      </c>
      <c r="I40" s="675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603"/>
      <c r="Y40" s="603"/>
      <c r="Z40" s="404"/>
      <c r="AA40" s="676"/>
      <c r="AB40" s="645" t="str">
        <f t="shared" si="8"/>
        <v>3</v>
      </c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401"/>
      <c r="AY40" s="401"/>
      <c r="AZ40" s="401"/>
      <c r="BA40" s="401"/>
      <c r="BB40" s="401"/>
      <c r="BC40" s="401"/>
      <c r="BD40" s="401"/>
      <c r="BE40" s="401"/>
      <c r="BF40" s="401"/>
      <c r="BG40" s="401"/>
      <c r="BH40" s="401"/>
      <c r="BI40" s="401"/>
      <c r="BJ40" s="401"/>
      <c r="BK40" s="401"/>
      <c r="BL40" s="401"/>
      <c r="BM40" s="401"/>
      <c r="BN40" s="401"/>
      <c r="BO40" s="401"/>
      <c r="BP40" s="401"/>
      <c r="BQ40" s="401"/>
      <c r="BR40" s="401"/>
      <c r="BS40" s="401"/>
      <c r="BT40" s="401"/>
      <c r="BU40" s="401"/>
      <c r="BV40" s="401"/>
      <c r="BW40" s="401"/>
      <c r="BX40" s="401"/>
      <c r="BY40" s="401"/>
      <c r="BZ40" s="401"/>
      <c r="CA40" s="401"/>
      <c r="CB40" s="401"/>
      <c r="CC40" s="401"/>
      <c r="CD40" s="401"/>
      <c r="CE40" s="401"/>
      <c r="CF40" s="401"/>
      <c r="CG40" s="401"/>
      <c r="CH40" s="401"/>
      <c r="CI40" s="401"/>
      <c r="CJ40" s="401"/>
      <c r="CK40" s="401"/>
      <c r="CL40" s="401"/>
      <c r="CM40" s="401"/>
      <c r="CN40" s="401"/>
      <c r="CO40" s="401"/>
      <c r="CP40" s="401"/>
      <c r="CQ40" s="401"/>
      <c r="CR40" s="401"/>
      <c r="CS40" s="401"/>
      <c r="CT40" s="401"/>
      <c r="CU40" s="401"/>
      <c r="CV40" s="401"/>
      <c r="CW40" s="401"/>
      <c r="CX40" s="401"/>
      <c r="CY40" s="401"/>
      <c r="CZ40" s="401"/>
      <c r="DA40" s="401"/>
      <c r="DB40" s="401"/>
      <c r="DC40" s="401"/>
      <c r="DD40" s="401"/>
      <c r="DE40" s="401"/>
      <c r="DF40" s="401"/>
      <c r="DG40" s="401"/>
      <c r="DH40" s="401"/>
      <c r="DI40" s="401"/>
      <c r="DJ40" s="401"/>
      <c r="DK40" s="401"/>
      <c r="DL40" s="401"/>
      <c r="DM40" s="401"/>
      <c r="DN40" s="401"/>
      <c r="DO40" s="401"/>
      <c r="DP40" s="401"/>
      <c r="DQ40" s="401"/>
      <c r="DR40" s="401"/>
      <c r="DS40" s="401"/>
    </row>
    <row r="41" spans="1:123" ht="14.25">
      <c r="A41" s="611"/>
      <c r="B41" s="624"/>
      <c r="C41" s="552" t="str">
        <f>CONCATENATE("Verlusthöhe bei DN = ",dn)</f>
        <v>Verlusthöhe bei DN = 80</v>
      </c>
      <c r="D41" s="629" t="e">
        <f>ROUNDUP((zeta_gesamt*(4*qpumpe_bp/((dn*10^(-3))^2*PI())/3600)^2/(2*9.81)),2)+ROUNDUP((0.175*(4*qpumpe_bp/((dn*10^(-3))^2*PI())/3600)^2/(2*9.81)),2)*MAX(fh_geo,ldl)</f>
        <v>#VALUE!</v>
      </c>
      <c r="E41" s="553" t="s">
        <v>129</v>
      </c>
      <c r="F41" s="677" t="e">
        <f>IF(ABS(fh_verl-hydr_verl)&gt;hydr_verl*0.2,CONCATENATE(meldung_25," ",hydr_verl),"OK")</f>
        <v>#VALUE!</v>
      </c>
      <c r="G41" s="629" t="e">
        <f>ROUNDUP((0.1*(4*qpumpe_bp/((dn*10^(-3))^2*PI())/3600)^2/(2*9.81)),2)*MAX(fh_geo,ldl)</f>
        <v>#VALUE!</v>
      </c>
      <c r="H41" s="563" t="str">
        <f>IF(ISERROR(laufrad_ist),"",IF(AND(laufrad_ist&gt;2,spannung=230)=TRUE,meldung_15,""))</f>
        <v/>
      </c>
      <c r="I41" s="563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603"/>
      <c r="Y41" s="603"/>
      <c r="Z41" s="404"/>
      <c r="AA41" s="678"/>
      <c r="AB41" s="645" t="str">
        <f t="shared" si="8"/>
        <v>4</v>
      </c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  <c r="BE41" s="401"/>
      <c r="BF41" s="401"/>
      <c r="BG41" s="401"/>
      <c r="BH41" s="401"/>
      <c r="BI41" s="401"/>
      <c r="BJ41" s="401"/>
      <c r="BK41" s="401"/>
      <c r="BL41" s="401"/>
      <c r="BM41" s="401"/>
      <c r="BN41" s="401"/>
      <c r="BO41" s="401"/>
      <c r="BP41" s="401"/>
      <c r="BQ41" s="401"/>
      <c r="BR41" s="401"/>
      <c r="BS41" s="401"/>
      <c r="BT41" s="401"/>
      <c r="BU41" s="401"/>
      <c r="BV41" s="401"/>
      <c r="BW41" s="401"/>
      <c r="BX41" s="401"/>
      <c r="BY41" s="401"/>
      <c r="BZ41" s="401"/>
      <c r="CA41" s="401"/>
      <c r="CB41" s="401"/>
      <c r="CC41" s="401"/>
      <c r="CD41" s="401"/>
      <c r="CE41" s="401"/>
      <c r="CF41" s="401"/>
      <c r="CG41" s="401"/>
      <c r="CH41" s="401"/>
      <c r="CI41" s="401"/>
      <c r="CJ41" s="401"/>
      <c r="CK41" s="401"/>
      <c r="CL41" s="401"/>
      <c r="CM41" s="401"/>
      <c r="CN41" s="401"/>
      <c r="CO41" s="401"/>
      <c r="CP41" s="401"/>
      <c r="CQ41" s="401"/>
      <c r="CR41" s="401"/>
      <c r="CS41" s="401"/>
      <c r="CT41" s="401"/>
      <c r="CU41" s="401"/>
      <c r="CV41" s="401"/>
      <c r="CW41" s="401"/>
      <c r="CX41" s="401"/>
      <c r="CY41" s="401"/>
      <c r="CZ41" s="401"/>
      <c r="DA41" s="401"/>
      <c r="DB41" s="401"/>
      <c r="DC41" s="401"/>
      <c r="DD41" s="401"/>
      <c r="DE41" s="401"/>
      <c r="DF41" s="401"/>
      <c r="DG41" s="401"/>
      <c r="DH41" s="401"/>
      <c r="DI41" s="401"/>
      <c r="DJ41" s="401"/>
      <c r="DK41" s="401"/>
      <c r="DL41" s="401"/>
      <c r="DM41" s="401"/>
      <c r="DN41" s="401"/>
      <c r="DO41" s="401"/>
      <c r="DP41" s="401"/>
      <c r="DQ41" s="401"/>
      <c r="DR41" s="401"/>
      <c r="DS41" s="401"/>
    </row>
    <row r="42" spans="1:123" ht="14.25">
      <c r="A42" s="611"/>
      <c r="B42" s="624"/>
      <c r="C42" s="552" t="s">
        <v>23</v>
      </c>
      <c r="D42" s="655" t="e">
        <f>IF(qpumpe_bp&gt;qmax_dn_info,"keine Hydraulik vorhanden"," ")</f>
        <v>#VALUE!</v>
      </c>
      <c r="E42" s="653"/>
      <c r="G42" s="401"/>
      <c r="H42" s="401"/>
      <c r="I42" s="598"/>
      <c r="J42" s="401"/>
      <c r="K42" s="401" t="e">
        <f>(qpumpe_bp_zw-qzulauf)/3.6</f>
        <v>#VALUE!</v>
      </c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603"/>
      <c r="Y42" s="603"/>
      <c r="Z42" s="404"/>
      <c r="AA42" s="678"/>
      <c r="AB42" s="645" t="str">
        <f t="shared" si="8"/>
        <v>5</v>
      </c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  <c r="AO42" s="401"/>
      <c r="AP42" s="401"/>
      <c r="AQ42" s="401"/>
      <c r="AR42" s="401"/>
      <c r="AS42" s="401"/>
      <c r="AT42" s="401"/>
      <c r="AU42" s="401"/>
      <c r="AV42" s="401"/>
      <c r="AW42" s="401"/>
      <c r="AX42" s="401"/>
      <c r="AY42" s="401"/>
      <c r="AZ42" s="401"/>
      <c r="BA42" s="401"/>
      <c r="BB42" s="401"/>
      <c r="BC42" s="401"/>
      <c r="BD42" s="401"/>
      <c r="BE42" s="401"/>
      <c r="BF42" s="401"/>
      <c r="BG42" s="401"/>
      <c r="BH42" s="401"/>
      <c r="BI42" s="401"/>
      <c r="BJ42" s="401"/>
      <c r="BK42" s="401"/>
      <c r="BL42" s="401"/>
      <c r="BM42" s="401"/>
      <c r="BN42" s="401"/>
      <c r="BO42" s="401"/>
      <c r="BP42" s="401"/>
      <c r="BQ42" s="401"/>
      <c r="BR42" s="401"/>
      <c r="BS42" s="401"/>
      <c r="BT42" s="401"/>
      <c r="BU42" s="401"/>
      <c r="BV42" s="401"/>
      <c r="BW42" s="401"/>
      <c r="BX42" s="401"/>
      <c r="BY42" s="401"/>
      <c r="BZ42" s="401"/>
      <c r="CA42" s="401"/>
      <c r="CB42" s="401"/>
      <c r="CC42" s="401"/>
      <c r="CD42" s="401"/>
      <c r="CE42" s="401"/>
      <c r="CF42" s="401"/>
      <c r="CG42" s="401"/>
      <c r="CH42" s="401"/>
      <c r="CI42" s="401"/>
      <c r="CJ42" s="401"/>
      <c r="CK42" s="401"/>
      <c r="CL42" s="401"/>
      <c r="CM42" s="401"/>
      <c r="CN42" s="401"/>
      <c r="CO42" s="401"/>
      <c r="CP42" s="401"/>
      <c r="CQ42" s="401"/>
      <c r="CR42" s="401"/>
      <c r="CS42" s="401"/>
      <c r="CT42" s="401"/>
      <c r="CU42" s="401"/>
      <c r="CV42" s="401"/>
      <c r="CW42" s="401"/>
      <c r="CX42" s="401"/>
      <c r="CY42" s="401"/>
      <c r="CZ42" s="401"/>
      <c r="DA42" s="401"/>
      <c r="DB42" s="401"/>
      <c r="DC42" s="401"/>
      <c r="DD42" s="401"/>
      <c r="DE42" s="401"/>
      <c r="DF42" s="401"/>
      <c r="DG42" s="401"/>
      <c r="DH42" s="401"/>
      <c r="DI42" s="401"/>
      <c r="DJ42" s="401"/>
      <c r="DK42" s="401"/>
      <c r="DL42" s="401"/>
      <c r="DM42" s="401"/>
      <c r="DN42" s="401"/>
      <c r="DO42" s="401"/>
      <c r="DP42" s="401"/>
      <c r="DQ42" s="401"/>
      <c r="DR42" s="401"/>
      <c r="DS42" s="401"/>
    </row>
    <row r="43" spans="1:123" ht="15">
      <c r="A43" s="679"/>
      <c r="B43" s="680"/>
      <c r="C43" s="681" t="s">
        <v>24</v>
      </c>
      <c r="D43" s="682" t="str">
        <f>IF(MAX(qpumpe_bp_f1,qpumpe_bp_f2)&lt;qmin_dn80,"keine Hydraulik vorhanden",IF(qpumpe_bp_f1&gt;qmin_dn80,"1","2"))</f>
        <v>1</v>
      </c>
      <c r="E43" s="683"/>
      <c r="G43" s="401"/>
      <c r="H43" s="401"/>
      <c r="I43" s="598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569"/>
      <c r="Y43" s="569"/>
      <c r="Z43" s="569"/>
      <c r="AA43" s="569"/>
      <c r="AB43" s="645" t="str">
        <f t="shared" si="8"/>
        <v>3</v>
      </c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1"/>
      <c r="AW43" s="401"/>
      <c r="AX43" s="401"/>
      <c r="AY43" s="401"/>
      <c r="AZ43" s="401"/>
      <c r="BA43" s="401"/>
      <c r="BB43" s="401"/>
      <c r="BC43" s="401"/>
      <c r="BD43" s="401"/>
      <c r="BE43" s="401"/>
      <c r="BF43" s="401"/>
      <c r="BG43" s="401"/>
      <c r="BH43" s="401"/>
      <c r="BI43" s="401"/>
      <c r="BJ43" s="401"/>
      <c r="BK43" s="401"/>
      <c r="BL43" s="401"/>
      <c r="BM43" s="401"/>
      <c r="BN43" s="401"/>
      <c r="BO43" s="401"/>
      <c r="BP43" s="401"/>
      <c r="BQ43" s="401"/>
      <c r="BR43" s="401"/>
      <c r="BS43" s="401"/>
      <c r="BT43" s="401"/>
      <c r="BU43" s="401"/>
      <c r="BV43" s="401"/>
      <c r="BW43" s="401"/>
      <c r="BX43" s="401"/>
      <c r="BY43" s="401"/>
      <c r="BZ43" s="401"/>
      <c r="CA43" s="401"/>
      <c r="CB43" s="401"/>
      <c r="CC43" s="401"/>
      <c r="CD43" s="401"/>
      <c r="CE43" s="401"/>
      <c r="CF43" s="401"/>
      <c r="CG43" s="401"/>
      <c r="CH43" s="401"/>
      <c r="CI43" s="401"/>
      <c r="CJ43" s="401"/>
      <c r="CK43" s="401"/>
      <c r="CL43" s="401"/>
      <c r="CM43" s="401"/>
      <c r="CN43" s="401"/>
      <c r="CO43" s="401"/>
      <c r="CP43" s="401"/>
      <c r="CQ43" s="401"/>
      <c r="CR43" s="401"/>
      <c r="CS43" s="401"/>
      <c r="CT43" s="401"/>
      <c r="CU43" s="401"/>
      <c r="CV43" s="401"/>
      <c r="CW43" s="401"/>
      <c r="CX43" s="401"/>
      <c r="CY43" s="401"/>
      <c r="CZ43" s="401"/>
      <c r="DA43" s="401"/>
      <c r="DB43" s="401"/>
      <c r="DC43" s="401"/>
      <c r="DD43" s="401"/>
      <c r="DE43" s="401"/>
      <c r="DF43" s="401"/>
      <c r="DG43" s="401"/>
      <c r="DH43" s="401"/>
      <c r="DI43" s="401"/>
      <c r="DJ43" s="401"/>
      <c r="DK43" s="401"/>
      <c r="DL43" s="401"/>
      <c r="DM43" s="401"/>
      <c r="DN43" s="401"/>
      <c r="DO43" s="401"/>
      <c r="DP43" s="401"/>
      <c r="DQ43" s="401"/>
      <c r="DR43" s="401"/>
      <c r="DS43" s="401"/>
    </row>
    <row r="44" spans="1:123" ht="14.25">
      <c r="A44" s="401" t="s">
        <v>130</v>
      </c>
      <c r="B44" s="624"/>
      <c r="C44" s="684" t="s">
        <v>25</v>
      </c>
      <c r="D44" s="622"/>
      <c r="E44" s="622">
        <v>1</v>
      </c>
      <c r="F44" s="685" t="str">
        <f>IF(D44&lt;MAX(ldl,fh_geo),"erhöhen","ok")</f>
        <v>ok</v>
      </c>
      <c r="G44" s="401"/>
      <c r="H44" s="649"/>
      <c r="I44" s="598"/>
      <c r="J44" s="401" t="s">
        <v>195</v>
      </c>
      <c r="K44" s="401" t="e">
        <f>45:45/(qpumpe_bp-qzulauf)</f>
        <v>#REF!</v>
      </c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603"/>
      <c r="Y44" s="603"/>
      <c r="Z44" s="404"/>
      <c r="AA44" s="676"/>
      <c r="AB44" s="645" t="str">
        <f t="shared" si="8"/>
        <v>4</v>
      </c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01"/>
      <c r="AT44" s="401"/>
      <c r="AU44" s="401"/>
      <c r="AV44" s="401"/>
      <c r="AW44" s="401"/>
      <c r="AX44" s="401"/>
      <c r="AY44" s="401"/>
      <c r="AZ44" s="401"/>
      <c r="BA44" s="401"/>
      <c r="BB44" s="401"/>
      <c r="BC44" s="401"/>
      <c r="BD44" s="401"/>
      <c r="BE44" s="401"/>
      <c r="BF44" s="401"/>
      <c r="BG44" s="401"/>
      <c r="BH44" s="401"/>
      <c r="BI44" s="401"/>
      <c r="BJ44" s="401"/>
      <c r="BK44" s="401"/>
      <c r="BL44" s="401"/>
      <c r="BM44" s="401"/>
      <c r="BN44" s="401"/>
      <c r="BO44" s="401"/>
      <c r="BP44" s="401"/>
      <c r="BQ44" s="401"/>
      <c r="BR44" s="401"/>
      <c r="BS44" s="401"/>
      <c r="BT44" s="401"/>
      <c r="BU44" s="401"/>
      <c r="BV44" s="401"/>
      <c r="BW44" s="401"/>
      <c r="BX44" s="401"/>
      <c r="BY44" s="401"/>
      <c r="BZ44" s="401"/>
      <c r="CA44" s="401"/>
      <c r="CB44" s="401"/>
      <c r="CC44" s="401"/>
      <c r="CD44" s="401"/>
      <c r="CE44" s="401"/>
      <c r="CF44" s="401"/>
      <c r="CG44" s="401"/>
      <c r="CH44" s="401"/>
      <c r="CI44" s="401"/>
      <c r="CJ44" s="401"/>
      <c r="CK44" s="401"/>
      <c r="CL44" s="401"/>
      <c r="CM44" s="401"/>
      <c r="CN44" s="401"/>
      <c r="CO44" s="401"/>
      <c r="CP44" s="401"/>
      <c r="CQ44" s="401"/>
      <c r="CR44" s="401"/>
      <c r="CS44" s="401"/>
      <c r="CT44" s="401"/>
      <c r="CU44" s="401"/>
      <c r="CV44" s="401"/>
      <c r="CW44" s="401"/>
      <c r="CX44" s="401"/>
      <c r="CY44" s="401"/>
      <c r="CZ44" s="401"/>
      <c r="DA44" s="401"/>
      <c r="DB44" s="401"/>
      <c r="DC44" s="401"/>
      <c r="DD44" s="401"/>
      <c r="DE44" s="401"/>
      <c r="DF44" s="401"/>
      <c r="DG44" s="401"/>
      <c r="DH44" s="401"/>
      <c r="DI44" s="401"/>
      <c r="DJ44" s="401"/>
      <c r="DK44" s="401"/>
      <c r="DL44" s="401"/>
      <c r="DM44" s="401"/>
      <c r="DN44" s="401"/>
      <c r="DO44" s="401"/>
      <c r="DP44" s="401"/>
      <c r="DQ44" s="401"/>
      <c r="DR44" s="401"/>
      <c r="DS44" s="401"/>
    </row>
    <row r="45" spans="1:123" ht="14.25">
      <c r="A45" s="401" t="s">
        <v>131</v>
      </c>
      <c r="B45" s="624"/>
      <c r="C45" s="552" t="s">
        <v>26</v>
      </c>
      <c r="D45" s="629"/>
      <c r="E45" s="629">
        <f>E44+1</f>
        <v>2</v>
      </c>
      <c r="F45" s="686" t="str">
        <f>IF(D45&lt;MAX(ldl,fh_geo),"erhöhen","ok")</f>
        <v>ok</v>
      </c>
      <c r="G45" s="401"/>
      <c r="H45" s="401"/>
      <c r="I45" s="598"/>
      <c r="J45" s="401" t="s">
        <v>196</v>
      </c>
      <c r="K45" s="401" t="e">
        <f>nutzvolumen_ist/qzulauf</f>
        <v>#REF!</v>
      </c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603"/>
      <c r="Y45" s="603"/>
      <c r="Z45" s="404"/>
      <c r="AA45" s="403"/>
      <c r="AB45" s="645" t="str">
        <f t="shared" si="8"/>
        <v>5</v>
      </c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401"/>
      <c r="BB45" s="401"/>
      <c r="BC45" s="401"/>
      <c r="BD45" s="401"/>
      <c r="BE45" s="401"/>
      <c r="BF45" s="401"/>
      <c r="BG45" s="401"/>
      <c r="BH45" s="401"/>
      <c r="BI45" s="401"/>
      <c r="BJ45" s="401"/>
      <c r="BK45" s="401"/>
      <c r="BL45" s="401"/>
      <c r="BM45" s="401"/>
      <c r="BN45" s="401"/>
      <c r="BO45" s="401"/>
      <c r="BP45" s="401"/>
      <c r="BQ45" s="401"/>
      <c r="BR45" s="401"/>
      <c r="BS45" s="401"/>
      <c r="BT45" s="401"/>
      <c r="BU45" s="401"/>
      <c r="BV45" s="401"/>
      <c r="BW45" s="401"/>
      <c r="BX45" s="401"/>
      <c r="BY45" s="401"/>
      <c r="BZ45" s="401"/>
      <c r="CA45" s="401"/>
      <c r="CB45" s="401"/>
      <c r="CC45" s="401"/>
      <c r="CD45" s="401"/>
      <c r="CE45" s="401"/>
      <c r="CF45" s="401"/>
      <c r="CG45" s="401"/>
      <c r="CH45" s="401"/>
      <c r="CI45" s="401"/>
      <c r="CJ45" s="401"/>
      <c r="CK45" s="401"/>
      <c r="CL45" s="401"/>
      <c r="CM45" s="401"/>
      <c r="CN45" s="401"/>
      <c r="CO45" s="401"/>
      <c r="CP45" s="401"/>
      <c r="CQ45" s="401"/>
      <c r="CR45" s="401"/>
      <c r="CS45" s="401"/>
      <c r="CT45" s="401"/>
      <c r="CU45" s="401"/>
      <c r="CV45" s="401"/>
      <c r="CW45" s="401"/>
      <c r="CX45" s="401"/>
      <c r="CY45" s="401"/>
      <c r="CZ45" s="401"/>
      <c r="DA45" s="401"/>
      <c r="DB45" s="401"/>
      <c r="DC45" s="401"/>
      <c r="DD45" s="401"/>
      <c r="DE45" s="401"/>
      <c r="DF45" s="401"/>
      <c r="DG45" s="401"/>
      <c r="DH45" s="401"/>
      <c r="DI45" s="401"/>
      <c r="DJ45" s="401"/>
      <c r="DK45" s="401"/>
      <c r="DL45" s="401"/>
      <c r="DM45" s="401"/>
      <c r="DN45" s="401"/>
      <c r="DO45" s="401"/>
      <c r="DP45" s="401"/>
      <c r="DQ45" s="401"/>
      <c r="DR45" s="401"/>
      <c r="DS45" s="401"/>
    </row>
    <row r="46" spans="1:123" ht="14.25">
      <c r="A46" s="401"/>
      <c r="B46" s="624"/>
      <c r="C46" s="618" t="s">
        <v>27</v>
      </c>
      <c r="D46" s="619"/>
      <c r="E46" s="619">
        <f>E45+1</f>
        <v>3</v>
      </c>
      <c r="F46" s="687" t="str">
        <f>IF(D46&lt;MAX(ldl,fh_geo),"erhöhen","ok")</f>
        <v>ok</v>
      </c>
      <c r="G46" s="401"/>
      <c r="H46" s="401"/>
      <c r="I46" s="598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603"/>
      <c r="Y46" s="603"/>
      <c r="Z46" s="404"/>
      <c r="AA46" s="403"/>
      <c r="AB46" s="645" t="str">
        <f t="shared" si="8"/>
        <v>3</v>
      </c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  <c r="AO46" s="401"/>
      <c r="AP46" s="401"/>
      <c r="AQ46" s="401"/>
      <c r="AR46" s="401"/>
      <c r="AS46" s="401"/>
      <c r="AT46" s="401"/>
      <c r="AU46" s="401"/>
      <c r="AV46" s="401"/>
      <c r="AW46" s="401"/>
      <c r="AX46" s="401"/>
      <c r="AY46" s="401"/>
      <c r="AZ46" s="401"/>
      <c r="BA46" s="401"/>
      <c r="BB46" s="401"/>
      <c r="BC46" s="401"/>
      <c r="BD46" s="401"/>
      <c r="BE46" s="401"/>
      <c r="BF46" s="401"/>
      <c r="BG46" s="401"/>
      <c r="BH46" s="401"/>
      <c r="BI46" s="401"/>
      <c r="BJ46" s="401"/>
      <c r="BK46" s="401"/>
      <c r="BL46" s="401"/>
      <c r="BM46" s="401"/>
      <c r="BN46" s="401"/>
      <c r="BO46" s="401"/>
      <c r="BP46" s="401"/>
      <c r="BQ46" s="401"/>
      <c r="BR46" s="401"/>
      <c r="BS46" s="401"/>
      <c r="BT46" s="401"/>
      <c r="BU46" s="401"/>
      <c r="BV46" s="401"/>
      <c r="BW46" s="401"/>
      <c r="BX46" s="401"/>
      <c r="BY46" s="401"/>
      <c r="BZ46" s="401"/>
      <c r="CA46" s="401"/>
      <c r="CB46" s="401"/>
      <c r="CC46" s="401"/>
      <c r="CD46" s="401"/>
      <c r="CE46" s="401"/>
      <c r="CF46" s="401"/>
      <c r="CG46" s="401"/>
      <c r="CH46" s="401"/>
      <c r="CI46" s="401"/>
      <c r="CJ46" s="401"/>
      <c r="CK46" s="401"/>
      <c r="CL46" s="401"/>
      <c r="CM46" s="401"/>
      <c r="CN46" s="401"/>
      <c r="CO46" s="401"/>
      <c r="CP46" s="401"/>
      <c r="CQ46" s="401"/>
      <c r="CR46" s="401"/>
      <c r="CS46" s="401"/>
      <c r="CT46" s="401"/>
      <c r="CU46" s="401"/>
      <c r="CV46" s="401"/>
      <c r="CW46" s="401"/>
      <c r="CX46" s="401"/>
      <c r="CY46" s="401"/>
      <c r="CZ46" s="401"/>
      <c r="DA46" s="401"/>
      <c r="DB46" s="401"/>
      <c r="DC46" s="401"/>
      <c r="DD46" s="401"/>
      <c r="DE46" s="401"/>
      <c r="DF46" s="401"/>
      <c r="DG46" s="401"/>
      <c r="DH46" s="401"/>
      <c r="DI46" s="401"/>
      <c r="DJ46" s="401"/>
      <c r="DK46" s="401"/>
      <c r="DL46" s="401"/>
      <c r="DM46" s="401"/>
      <c r="DN46" s="401"/>
      <c r="DO46" s="401"/>
      <c r="DP46" s="401"/>
      <c r="DQ46" s="401"/>
      <c r="DR46" s="401"/>
      <c r="DS46" s="401"/>
    </row>
    <row r="47" spans="1:123" ht="14.25">
      <c r="A47" s="401"/>
      <c r="B47" s="624"/>
      <c r="C47" s="688" t="s">
        <v>28</v>
      </c>
      <c r="D47" s="689" t="e">
        <f>IF(ISNA(ldl_max)=TRUE,meldung_3,ldl_max)</f>
        <v>#REF!</v>
      </c>
      <c r="E47" s="401"/>
      <c r="F47" s="401"/>
      <c r="G47" s="401"/>
      <c r="H47" s="401"/>
      <c r="I47" s="598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3"/>
      <c r="Y47" s="403"/>
      <c r="Z47" s="690"/>
      <c r="AA47" s="404"/>
      <c r="AB47" s="645" t="str">
        <f t="shared" si="8"/>
        <v>4</v>
      </c>
      <c r="AC47" s="401"/>
      <c r="AD47" s="401"/>
      <c r="AE47" s="401"/>
      <c r="AF47" s="401"/>
      <c r="AG47" s="401"/>
      <c r="AH47" s="401"/>
      <c r="AI47" s="401"/>
      <c r="AJ47" s="401"/>
      <c r="AK47" s="401"/>
      <c r="AL47" s="401"/>
      <c r="AM47" s="401"/>
      <c r="AN47" s="401"/>
      <c r="AO47" s="401"/>
      <c r="AP47" s="401"/>
      <c r="AQ47" s="401"/>
      <c r="AR47" s="401"/>
      <c r="AS47" s="401"/>
      <c r="AT47" s="401"/>
      <c r="AU47" s="401"/>
      <c r="AV47" s="401"/>
      <c r="AW47" s="401"/>
      <c r="AX47" s="401"/>
      <c r="AY47" s="401"/>
      <c r="AZ47" s="401"/>
      <c r="BA47" s="401"/>
      <c r="BB47" s="401"/>
      <c r="BC47" s="401"/>
      <c r="BD47" s="401"/>
      <c r="BE47" s="401"/>
      <c r="BF47" s="401"/>
      <c r="BG47" s="401"/>
      <c r="BH47" s="401"/>
      <c r="BI47" s="401"/>
      <c r="BJ47" s="401"/>
      <c r="BK47" s="401"/>
      <c r="BL47" s="401"/>
      <c r="BM47" s="401"/>
      <c r="BN47" s="401"/>
      <c r="BO47" s="401"/>
      <c r="BP47" s="401"/>
      <c r="BQ47" s="401"/>
      <c r="BR47" s="401"/>
      <c r="BS47" s="401"/>
      <c r="BT47" s="401"/>
      <c r="BU47" s="401"/>
      <c r="BV47" s="401"/>
      <c r="BW47" s="401"/>
      <c r="BX47" s="401"/>
      <c r="BY47" s="401"/>
      <c r="BZ47" s="401"/>
      <c r="CA47" s="401"/>
      <c r="CB47" s="401"/>
      <c r="CC47" s="401"/>
      <c r="CD47" s="401"/>
      <c r="CE47" s="401"/>
      <c r="CF47" s="401"/>
      <c r="CG47" s="401"/>
      <c r="CH47" s="401"/>
      <c r="CI47" s="401"/>
      <c r="CJ47" s="401"/>
      <c r="CK47" s="401"/>
      <c r="CL47" s="401"/>
      <c r="CM47" s="401"/>
      <c r="CN47" s="401"/>
      <c r="CO47" s="401"/>
      <c r="CP47" s="401"/>
      <c r="CQ47" s="401"/>
      <c r="CR47" s="401"/>
      <c r="CS47" s="401"/>
      <c r="CT47" s="401"/>
      <c r="CU47" s="401"/>
      <c r="CV47" s="401"/>
      <c r="CW47" s="401"/>
      <c r="CX47" s="401"/>
      <c r="CY47" s="401"/>
      <c r="CZ47" s="401"/>
      <c r="DA47" s="401"/>
      <c r="DB47" s="401"/>
      <c r="DC47" s="401"/>
      <c r="DD47" s="401"/>
      <c r="DE47" s="401"/>
      <c r="DF47" s="401"/>
      <c r="DG47" s="401"/>
      <c r="DH47" s="401"/>
      <c r="DI47" s="401"/>
      <c r="DJ47" s="401"/>
      <c r="DK47" s="401"/>
      <c r="DL47" s="401"/>
      <c r="DM47" s="401"/>
      <c r="DN47" s="401"/>
      <c r="DO47" s="401"/>
      <c r="DP47" s="401"/>
      <c r="DQ47" s="401"/>
      <c r="DR47" s="401"/>
      <c r="DS47" s="401"/>
    </row>
    <row r="48" spans="1:123" ht="14.25">
      <c r="A48" s="401"/>
      <c r="B48" s="624"/>
      <c r="C48" s="688" t="s">
        <v>29</v>
      </c>
      <c r="D48" s="691" t="str">
        <f>IF(ISNA(zulauf_ermittelt)=TRUE,meldung_3,zulauf_ermittelt)</f>
        <v>Angaben prüfen!</v>
      </c>
      <c r="E48" s="692" t="s">
        <v>126</v>
      </c>
      <c r="F48" s="693" t="e">
        <f>IF(ISNA(nutzvolumen_ermittelt)=TRUE,meldung_3,nutzvolumen_ermittelt)</f>
        <v>#REF!</v>
      </c>
      <c r="G48" s="692" t="s">
        <v>127</v>
      </c>
      <c r="H48" s="694" t="e">
        <f>4*nutzvolumen_ist/(PI()*(dn/100)^2)/10</f>
        <v>#REF!</v>
      </c>
      <c r="I48" s="695" t="s">
        <v>194</v>
      </c>
      <c r="J48" s="696" t="e">
        <f>IF(OR(anlagen_art_duo="ja",anlagen_art_duo="tak",anlagen_art_duo="yes"),(qpumpe_bp-qzulauf)/qpumpe_bp/2,(qpumpe_bp-qzulauf)/qpumpe_bp)</f>
        <v>#VALUE!</v>
      </c>
      <c r="K48" s="657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634"/>
      <c r="Y48" s="634"/>
      <c r="Z48" s="404"/>
      <c r="AA48" s="404"/>
      <c r="AB48" s="645" t="str">
        <f t="shared" si="8"/>
        <v>5</v>
      </c>
      <c r="AC48" s="401"/>
      <c r="AD48" s="401"/>
      <c r="AE48" s="401"/>
      <c r="AF48" s="401"/>
      <c r="AG48" s="401"/>
      <c r="AH48" s="401"/>
      <c r="AI48" s="401"/>
      <c r="AJ48" s="401"/>
      <c r="AK48" s="401"/>
      <c r="AL48" s="401"/>
      <c r="AM48" s="401"/>
      <c r="AN48" s="401"/>
      <c r="AO48" s="401"/>
      <c r="AP48" s="401"/>
      <c r="AQ48" s="401"/>
      <c r="AR48" s="401"/>
      <c r="AS48" s="401"/>
      <c r="AT48" s="401"/>
      <c r="AU48" s="401"/>
      <c r="AV48" s="401"/>
      <c r="AW48" s="401"/>
      <c r="AX48" s="401"/>
      <c r="AY48" s="401"/>
      <c r="AZ48" s="401"/>
      <c r="BA48" s="401"/>
      <c r="BB48" s="401"/>
      <c r="BC48" s="401"/>
      <c r="BD48" s="401"/>
      <c r="BE48" s="401"/>
      <c r="BF48" s="401"/>
      <c r="BG48" s="401"/>
      <c r="BH48" s="401"/>
      <c r="BI48" s="401"/>
      <c r="BJ48" s="401"/>
      <c r="BK48" s="401"/>
      <c r="BL48" s="401"/>
      <c r="BM48" s="401"/>
      <c r="BN48" s="401"/>
      <c r="BO48" s="401"/>
      <c r="BP48" s="401"/>
      <c r="BQ48" s="401"/>
      <c r="BR48" s="401"/>
      <c r="BS48" s="401"/>
      <c r="BT48" s="401"/>
      <c r="BU48" s="401"/>
      <c r="BV48" s="401"/>
      <c r="BW48" s="401"/>
      <c r="BX48" s="401"/>
      <c r="BY48" s="401"/>
      <c r="BZ48" s="401"/>
      <c r="CA48" s="401"/>
      <c r="CB48" s="401"/>
      <c r="CC48" s="401"/>
      <c r="CD48" s="401"/>
      <c r="CE48" s="401"/>
      <c r="CF48" s="401"/>
      <c r="CG48" s="401"/>
      <c r="CH48" s="401"/>
      <c r="CI48" s="401"/>
      <c r="CJ48" s="401"/>
      <c r="CK48" s="401"/>
      <c r="CL48" s="401"/>
      <c r="CM48" s="401"/>
      <c r="CN48" s="401"/>
      <c r="CO48" s="401"/>
      <c r="CP48" s="401"/>
      <c r="CQ48" s="401"/>
      <c r="CR48" s="401"/>
      <c r="CS48" s="401"/>
      <c r="CT48" s="401"/>
      <c r="CU48" s="401"/>
      <c r="CV48" s="401"/>
      <c r="CW48" s="401"/>
      <c r="CX48" s="401"/>
      <c r="CY48" s="401"/>
      <c r="CZ48" s="401"/>
      <c r="DA48" s="401"/>
      <c r="DB48" s="401"/>
      <c r="DC48" s="401"/>
      <c r="DD48" s="401"/>
      <c r="DE48" s="401"/>
      <c r="DF48" s="401"/>
      <c r="DG48" s="401"/>
      <c r="DH48" s="401"/>
      <c r="DI48" s="401"/>
      <c r="DJ48" s="401"/>
      <c r="DK48" s="401"/>
      <c r="DL48" s="401"/>
      <c r="DM48" s="401"/>
      <c r="DN48" s="401"/>
      <c r="DO48" s="401"/>
      <c r="DP48" s="401"/>
      <c r="DQ48" s="401"/>
      <c r="DR48" s="401"/>
      <c r="DS48" s="401"/>
    </row>
    <row r="49" spans="1:124" ht="14.25">
      <c r="A49" s="401"/>
      <c r="B49" s="401"/>
      <c r="C49" s="401"/>
      <c r="D49" s="401"/>
      <c r="E49" s="401"/>
      <c r="F49" s="401"/>
      <c r="G49" s="401"/>
      <c r="H49" s="401"/>
      <c r="I49" s="598"/>
      <c r="J49" s="598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634"/>
      <c r="Y49" s="634"/>
      <c r="Z49" s="404"/>
      <c r="AA49" s="404"/>
      <c r="AB49" s="645" t="str">
        <f t="shared" si="8"/>
        <v>3</v>
      </c>
      <c r="AC49" s="401"/>
      <c r="AD49" s="401"/>
      <c r="AE49" s="401"/>
      <c r="AF49" s="401"/>
      <c r="AG49" s="401"/>
      <c r="AH49" s="401"/>
      <c r="AI49" s="401"/>
      <c r="AJ49" s="401"/>
      <c r="AK49" s="401"/>
      <c r="AL49" s="401"/>
      <c r="AM49" s="401"/>
      <c r="AN49" s="401"/>
      <c r="AO49" s="401"/>
      <c r="AP49" s="401"/>
      <c r="AQ49" s="401"/>
      <c r="AR49" s="401"/>
      <c r="AS49" s="401"/>
      <c r="AT49" s="401"/>
      <c r="AU49" s="401"/>
      <c r="AV49" s="401"/>
      <c r="AW49" s="401"/>
      <c r="AX49" s="401"/>
      <c r="AY49" s="401"/>
      <c r="AZ49" s="401"/>
      <c r="BA49" s="401"/>
      <c r="BB49" s="401"/>
      <c r="BC49" s="401"/>
      <c r="BD49" s="401"/>
      <c r="BE49" s="401"/>
      <c r="BF49" s="401"/>
      <c r="BG49" s="401"/>
      <c r="BH49" s="401"/>
      <c r="BI49" s="401"/>
      <c r="BJ49" s="401"/>
      <c r="BK49" s="401"/>
      <c r="BL49" s="401"/>
      <c r="BM49" s="401"/>
      <c r="BN49" s="401"/>
      <c r="BO49" s="401"/>
      <c r="BP49" s="401"/>
      <c r="BQ49" s="401"/>
      <c r="BR49" s="401"/>
      <c r="BS49" s="401"/>
      <c r="BT49" s="401"/>
      <c r="BU49" s="401"/>
      <c r="BV49" s="401"/>
      <c r="BW49" s="401"/>
      <c r="BX49" s="401"/>
      <c r="BY49" s="401"/>
      <c r="BZ49" s="401"/>
      <c r="CA49" s="401"/>
      <c r="CB49" s="401"/>
      <c r="CC49" s="401"/>
      <c r="CD49" s="401"/>
      <c r="CE49" s="401"/>
      <c r="CF49" s="401"/>
      <c r="CG49" s="401"/>
      <c r="CH49" s="401"/>
      <c r="CI49" s="401"/>
      <c r="CJ49" s="401"/>
      <c r="CK49" s="401"/>
      <c r="CL49" s="401"/>
      <c r="CM49" s="401"/>
      <c r="CN49" s="401"/>
      <c r="CO49" s="401"/>
      <c r="CP49" s="401"/>
      <c r="CQ49" s="401"/>
      <c r="CR49" s="401"/>
      <c r="CS49" s="401"/>
      <c r="CT49" s="401"/>
      <c r="CU49" s="401"/>
      <c r="CV49" s="401"/>
      <c r="CW49" s="401"/>
      <c r="CX49" s="401"/>
      <c r="CY49" s="401"/>
      <c r="CZ49" s="401"/>
      <c r="DA49" s="401"/>
      <c r="DB49" s="401"/>
      <c r="DC49" s="401"/>
      <c r="DD49" s="401"/>
      <c r="DE49" s="401"/>
      <c r="DF49" s="401"/>
      <c r="DG49" s="401"/>
      <c r="DH49" s="401"/>
      <c r="DI49" s="401"/>
      <c r="DJ49" s="401"/>
      <c r="DK49" s="401"/>
      <c r="DL49" s="401"/>
      <c r="DM49" s="401"/>
      <c r="DN49" s="401"/>
      <c r="DO49" s="401"/>
      <c r="DP49" s="401"/>
      <c r="DQ49" s="401"/>
      <c r="DR49" s="401"/>
      <c r="DS49" s="401"/>
    </row>
    <row r="50" spans="1:124" ht="14.25">
      <c r="A50" s="697" t="s">
        <v>30</v>
      </c>
      <c r="B50" s="697"/>
      <c r="C50" s="698"/>
      <c r="D50" s="946" t="s">
        <v>31</v>
      </c>
      <c r="E50" s="947"/>
      <c r="F50" s="946" t="s">
        <v>33</v>
      </c>
      <c r="G50" s="947"/>
      <c r="H50" s="699"/>
      <c r="I50" s="699"/>
      <c r="J50" s="598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634"/>
      <c r="Y50" s="634"/>
      <c r="Z50" s="404"/>
      <c r="AA50" s="404"/>
      <c r="AB50" s="645" t="str">
        <f t="shared" si="8"/>
        <v>4</v>
      </c>
      <c r="AC50" s="401"/>
      <c r="AD50" s="401"/>
      <c r="AE50" s="401"/>
      <c r="AF50" s="401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1"/>
      <c r="AS50" s="401"/>
      <c r="AT50" s="401"/>
      <c r="AU50" s="401"/>
      <c r="AV50" s="401"/>
      <c r="AW50" s="401"/>
      <c r="AX50" s="401"/>
      <c r="AY50" s="401"/>
      <c r="AZ50" s="401"/>
      <c r="BA50" s="401"/>
      <c r="BB50" s="401"/>
      <c r="BC50" s="401"/>
      <c r="BD50" s="401"/>
      <c r="BE50" s="401"/>
      <c r="BF50" s="401"/>
      <c r="BG50" s="401"/>
      <c r="BH50" s="401"/>
      <c r="BI50" s="401"/>
      <c r="BJ50" s="401"/>
      <c r="BK50" s="401"/>
      <c r="BL50" s="401"/>
      <c r="BM50" s="401"/>
      <c r="BN50" s="401"/>
      <c r="BO50" s="401"/>
      <c r="BP50" s="401"/>
      <c r="BQ50" s="401"/>
      <c r="BR50" s="401"/>
      <c r="BS50" s="401"/>
      <c r="BT50" s="401"/>
      <c r="BU50" s="401"/>
      <c r="BV50" s="401"/>
      <c r="BW50" s="401"/>
      <c r="BX50" s="401"/>
      <c r="BY50" s="401"/>
      <c r="BZ50" s="401"/>
      <c r="CA50" s="401"/>
      <c r="CB50" s="401"/>
      <c r="CC50" s="401"/>
      <c r="CD50" s="401"/>
      <c r="CE50" s="401"/>
      <c r="CF50" s="401"/>
      <c r="CG50" s="401"/>
      <c r="CH50" s="401"/>
      <c r="CI50" s="401"/>
      <c r="CJ50" s="401"/>
      <c r="CK50" s="401"/>
      <c r="CL50" s="401"/>
      <c r="CM50" s="401"/>
      <c r="CN50" s="401"/>
      <c r="CO50" s="401"/>
      <c r="CP50" s="401"/>
      <c r="CQ50" s="401"/>
      <c r="CR50" s="401"/>
      <c r="CS50" s="401"/>
      <c r="CT50" s="401"/>
      <c r="CU50" s="401"/>
      <c r="CV50" s="401"/>
      <c r="CW50" s="401"/>
      <c r="CX50" s="401"/>
      <c r="CY50" s="401"/>
      <c r="CZ50" s="401"/>
      <c r="DA50" s="401"/>
      <c r="DB50" s="401"/>
      <c r="DC50" s="401"/>
      <c r="DD50" s="401"/>
      <c r="DE50" s="401"/>
      <c r="DF50" s="401"/>
      <c r="DG50" s="401"/>
      <c r="DH50" s="401"/>
      <c r="DI50" s="401"/>
      <c r="DJ50" s="401"/>
      <c r="DK50" s="401"/>
      <c r="DL50" s="401"/>
      <c r="DM50" s="401"/>
      <c r="DN50" s="401"/>
      <c r="DO50" s="401"/>
      <c r="DP50" s="401"/>
      <c r="DQ50" s="401"/>
      <c r="DR50" s="401"/>
      <c r="DS50" s="401"/>
    </row>
    <row r="51" spans="1:124" ht="14.25">
      <c r="A51" s="401"/>
      <c r="B51" s="401"/>
      <c r="C51" s="624" t="s">
        <v>34</v>
      </c>
      <c r="D51" s="700" t="s">
        <v>35</v>
      </c>
      <c r="E51" s="700" t="s">
        <v>32</v>
      </c>
      <c r="F51" s="700" t="s">
        <v>35</v>
      </c>
      <c r="G51" s="700" t="s">
        <v>32</v>
      </c>
      <c r="H51" s="701" t="s">
        <v>3</v>
      </c>
      <c r="I51" s="701" t="s">
        <v>4</v>
      </c>
      <c r="J51" s="401"/>
      <c r="K51" s="702" t="s">
        <v>197</v>
      </c>
      <c r="L51" s="528" t="s">
        <v>198</v>
      </c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651"/>
      <c r="Y51" s="651"/>
      <c r="Z51" s="651"/>
      <c r="AA51" s="634"/>
      <c r="AB51" s="645" t="str">
        <f t="shared" si="8"/>
        <v>5</v>
      </c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1"/>
      <c r="AY51" s="401"/>
      <c r="AZ51" s="401"/>
      <c r="BA51" s="401"/>
      <c r="BB51" s="401"/>
      <c r="BC51" s="401"/>
      <c r="BD51" s="401"/>
      <c r="BE51" s="401"/>
      <c r="BF51" s="401"/>
      <c r="BG51" s="401"/>
      <c r="BH51" s="401"/>
      <c r="BI51" s="401"/>
      <c r="BJ51" s="401"/>
      <c r="BK51" s="401"/>
      <c r="BL51" s="401"/>
      <c r="BM51" s="401"/>
      <c r="BN51" s="401"/>
      <c r="BO51" s="401"/>
      <c r="BP51" s="401"/>
      <c r="BQ51" s="401"/>
      <c r="BR51" s="401"/>
      <c r="BS51" s="401"/>
      <c r="BT51" s="401"/>
      <c r="BU51" s="401"/>
      <c r="BV51" s="401"/>
      <c r="BW51" s="401"/>
      <c r="BX51" s="401"/>
      <c r="BY51" s="401"/>
      <c r="BZ51" s="401"/>
      <c r="CA51" s="401"/>
      <c r="CB51" s="401"/>
      <c r="CC51" s="401"/>
      <c r="CD51" s="401"/>
      <c r="CE51" s="401"/>
      <c r="CF51" s="401"/>
      <c r="CG51" s="401"/>
      <c r="CH51" s="401"/>
      <c r="CI51" s="401"/>
      <c r="CJ51" s="401"/>
      <c r="CK51" s="401"/>
      <c r="CL51" s="401"/>
      <c r="CM51" s="401"/>
      <c r="CN51" s="401"/>
      <c r="CO51" s="401"/>
      <c r="CP51" s="401"/>
      <c r="CQ51" s="401"/>
      <c r="CR51" s="401"/>
      <c r="CS51" s="401"/>
      <c r="CT51" s="401"/>
      <c r="CU51" s="401"/>
      <c r="CV51" s="401"/>
      <c r="CW51" s="401"/>
      <c r="CX51" s="401"/>
      <c r="CY51" s="401"/>
      <c r="CZ51" s="401"/>
      <c r="DA51" s="401"/>
      <c r="DB51" s="401"/>
      <c r="DC51" s="401"/>
      <c r="DD51" s="401"/>
      <c r="DE51" s="401"/>
      <c r="DF51" s="401"/>
      <c r="DG51" s="401"/>
      <c r="DH51" s="401"/>
      <c r="DI51" s="401"/>
      <c r="DJ51" s="401"/>
      <c r="DK51" s="401"/>
      <c r="DL51" s="401"/>
      <c r="DM51" s="401"/>
      <c r="DN51" s="401"/>
      <c r="DO51" s="401"/>
      <c r="DP51" s="401"/>
      <c r="DQ51" s="401"/>
      <c r="DR51" s="401"/>
      <c r="DS51" s="401"/>
    </row>
    <row r="52" spans="1:124" ht="14.25">
      <c r="A52" s="401"/>
      <c r="B52" s="401"/>
      <c r="C52" s="703">
        <v>32</v>
      </c>
      <c r="D52" s="704">
        <f>vminds*PI()/4*10^-3*$C$52^2</f>
        <v>0.56297340352329095</v>
      </c>
      <c r="E52" s="704">
        <f>ROUNDDOWN((D52/qumrmhinls),1)</f>
        <v>2</v>
      </c>
      <c r="F52" s="704">
        <f>vmaxds*PI()/4*10^-3*$C$52^2*toleranz_vmax_dnds</f>
        <v>1.9052628470666801</v>
      </c>
      <c r="G52" s="704">
        <f t="shared" ref="G52:G59" si="10">F52*3.6</f>
        <v>6.8589462494400486</v>
      </c>
      <c r="H52" s="705" t="e">
        <f>qpumpe_bp-qmin_dn32&gt;0</f>
        <v>#VALUE!</v>
      </c>
      <c r="I52" s="705" t="e">
        <f>qpumpe_bp-qmax_dn32&lt;0</f>
        <v>#VALUE!</v>
      </c>
      <c r="J52" s="401" t="e">
        <f t="shared" ref="J52:J59" si="11">AND(H52,I52)=TRUE</f>
        <v>#VALUE!</v>
      </c>
      <c r="K52" s="706">
        <f t="shared" ref="K52:K58" si="12">C52</f>
        <v>32</v>
      </c>
      <c r="L52" s="528" t="e">
        <f>IF(qpumpe_bp_zw&gt;qmax_allg,CONCATENATE("DN",dn," zu klein"),VLOOKUP(TRUE,J52:K58,2,0))</f>
        <v>#N/A</v>
      </c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654"/>
      <c r="Y52" s="654"/>
      <c r="Z52" s="404"/>
      <c r="AA52" s="404"/>
      <c r="AB52" s="645" t="str">
        <f t="shared" si="8"/>
        <v>3</v>
      </c>
      <c r="AC52" s="401"/>
      <c r="AD52" s="401"/>
      <c r="AE52" s="401"/>
      <c r="AF52" s="401"/>
      <c r="AG52" s="401"/>
      <c r="AH52" s="401"/>
      <c r="AI52" s="401"/>
      <c r="AJ52" s="401"/>
      <c r="AK52" s="401"/>
      <c r="AL52" s="401"/>
      <c r="AM52" s="401"/>
      <c r="AN52" s="401"/>
      <c r="AO52" s="401"/>
      <c r="AP52" s="401"/>
      <c r="AQ52" s="401"/>
      <c r="AR52" s="401"/>
      <c r="AS52" s="401"/>
      <c r="AT52" s="401"/>
      <c r="AU52" s="401"/>
      <c r="AV52" s="401"/>
      <c r="AW52" s="401"/>
      <c r="AX52" s="401"/>
      <c r="AY52" s="401"/>
      <c r="AZ52" s="401"/>
      <c r="BA52" s="401"/>
      <c r="BB52" s="401"/>
      <c r="BC52" s="401"/>
      <c r="BD52" s="401"/>
      <c r="BE52" s="401"/>
      <c r="BF52" s="401"/>
      <c r="BG52" s="401"/>
      <c r="BH52" s="401"/>
      <c r="BI52" s="401"/>
      <c r="BJ52" s="401"/>
      <c r="BK52" s="401"/>
      <c r="BL52" s="401"/>
      <c r="BM52" s="401"/>
      <c r="BN52" s="401"/>
      <c r="BO52" s="401"/>
      <c r="BP52" s="401"/>
      <c r="BQ52" s="401"/>
      <c r="BR52" s="401"/>
      <c r="BS52" s="401"/>
      <c r="BT52" s="401"/>
      <c r="BU52" s="401"/>
      <c r="BV52" s="401"/>
      <c r="BW52" s="401"/>
      <c r="BX52" s="401"/>
      <c r="BY52" s="401"/>
      <c r="BZ52" s="401"/>
      <c r="CA52" s="401"/>
      <c r="CB52" s="401"/>
      <c r="CC52" s="401"/>
      <c r="CD52" s="401"/>
      <c r="CE52" s="401"/>
      <c r="CF52" s="401"/>
      <c r="CG52" s="401"/>
      <c r="CH52" s="401"/>
      <c r="CI52" s="401"/>
      <c r="CJ52" s="401"/>
      <c r="CK52" s="401"/>
      <c r="CL52" s="401"/>
      <c r="CM52" s="401"/>
      <c r="CN52" s="401"/>
      <c r="CO52" s="401"/>
      <c r="CP52" s="401"/>
      <c r="CQ52" s="401"/>
      <c r="CR52" s="401"/>
      <c r="CS52" s="401"/>
      <c r="CT52" s="401"/>
      <c r="CU52" s="401"/>
      <c r="CV52" s="401"/>
      <c r="CW52" s="401"/>
      <c r="CX52" s="401"/>
      <c r="CY52" s="401"/>
      <c r="CZ52" s="401"/>
      <c r="DA52" s="401"/>
      <c r="DB52" s="401"/>
      <c r="DC52" s="401"/>
      <c r="DD52" s="401"/>
      <c r="DE52" s="401"/>
      <c r="DF52" s="401"/>
      <c r="DG52" s="401"/>
      <c r="DH52" s="401"/>
      <c r="DI52" s="401"/>
      <c r="DJ52" s="401"/>
      <c r="DK52" s="401"/>
      <c r="DL52" s="401"/>
      <c r="DM52" s="401"/>
      <c r="DN52" s="401"/>
      <c r="DO52" s="401"/>
      <c r="DP52" s="401"/>
      <c r="DQ52" s="401"/>
      <c r="DR52" s="401"/>
      <c r="DS52" s="401"/>
    </row>
    <row r="53" spans="1:124" ht="14.25">
      <c r="A53" s="401"/>
      <c r="B53" s="401"/>
      <c r="C53" s="707">
        <v>50</v>
      </c>
      <c r="D53" s="587">
        <f>vminds*PI()/4*10^-3*$C$53^2</f>
        <v>1.3744467859455345</v>
      </c>
      <c r="E53" s="704">
        <f t="shared" ref="E53:E59" si="13">ROUNDDOWN((D53/qumrmhinls),1)</f>
        <v>4.9000000000000004</v>
      </c>
      <c r="F53" s="587">
        <f>vmaxds*PI()/4*10^-3*$C$53^2*toleranz_vmax_dnds</f>
        <v>4.651520622721387</v>
      </c>
      <c r="G53" s="587">
        <f t="shared" si="10"/>
        <v>16.745474241796995</v>
      </c>
      <c r="H53" s="705" t="e">
        <f>qpumpe_bp-qmin_dn50&gt;0</f>
        <v>#VALUE!</v>
      </c>
      <c r="I53" s="705" t="e">
        <f>qpumpe_bp-qmax_dn50&lt;0</f>
        <v>#VALUE!</v>
      </c>
      <c r="J53" s="401" t="e">
        <f t="shared" si="11"/>
        <v>#VALUE!</v>
      </c>
      <c r="K53" s="706">
        <f t="shared" si="12"/>
        <v>50</v>
      </c>
      <c r="L53" s="401" t="s">
        <v>771</v>
      </c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654"/>
      <c r="Y53" s="654"/>
      <c r="Z53" s="404"/>
      <c r="AA53" s="404"/>
      <c r="AB53" s="645" t="str">
        <f t="shared" si="8"/>
        <v>4</v>
      </c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  <c r="BF53" s="401"/>
      <c r="BG53" s="401"/>
      <c r="BH53" s="401"/>
      <c r="BI53" s="401"/>
      <c r="BJ53" s="401"/>
      <c r="BK53" s="401"/>
      <c r="BL53" s="401"/>
      <c r="BM53" s="401"/>
      <c r="BN53" s="401"/>
      <c r="BO53" s="401"/>
      <c r="BP53" s="401"/>
      <c r="BQ53" s="401"/>
      <c r="BR53" s="401"/>
      <c r="BS53" s="401"/>
      <c r="BT53" s="401"/>
      <c r="BU53" s="401"/>
      <c r="BV53" s="401"/>
      <c r="BW53" s="401"/>
      <c r="BX53" s="401"/>
      <c r="BY53" s="401"/>
      <c r="BZ53" s="401"/>
      <c r="CA53" s="401"/>
      <c r="CB53" s="401"/>
      <c r="CC53" s="401"/>
      <c r="CD53" s="401"/>
      <c r="CE53" s="401"/>
      <c r="CF53" s="401"/>
      <c r="CG53" s="401"/>
      <c r="CH53" s="401"/>
      <c r="CI53" s="401"/>
      <c r="CJ53" s="401"/>
      <c r="CK53" s="401"/>
      <c r="CL53" s="401"/>
      <c r="CM53" s="401"/>
      <c r="CN53" s="401"/>
      <c r="CO53" s="401"/>
      <c r="CP53" s="401"/>
      <c r="CQ53" s="401"/>
      <c r="CR53" s="401"/>
      <c r="CS53" s="401"/>
      <c r="CT53" s="401"/>
      <c r="CU53" s="401"/>
      <c r="CV53" s="401"/>
      <c r="CW53" s="401"/>
      <c r="CX53" s="401"/>
      <c r="CY53" s="401"/>
      <c r="CZ53" s="401"/>
      <c r="DA53" s="401"/>
      <c r="DB53" s="401"/>
      <c r="DC53" s="401"/>
      <c r="DD53" s="401"/>
      <c r="DE53" s="401"/>
      <c r="DF53" s="401"/>
      <c r="DG53" s="401"/>
      <c r="DH53" s="401"/>
      <c r="DI53" s="401"/>
      <c r="DJ53" s="401"/>
      <c r="DK53" s="401"/>
      <c r="DL53" s="401"/>
      <c r="DM53" s="401"/>
      <c r="DN53" s="401"/>
      <c r="DO53" s="401"/>
      <c r="DP53" s="401"/>
      <c r="DQ53" s="401"/>
      <c r="DR53" s="401"/>
      <c r="DS53" s="401"/>
    </row>
    <row r="54" spans="1:124" ht="14.25">
      <c r="A54" s="401"/>
      <c r="B54" s="401"/>
      <c r="C54" s="703">
        <v>65</v>
      </c>
      <c r="D54" s="704">
        <f>vminds*PI()/4*10^-3*$C$54^2</f>
        <v>2.3228150682479534</v>
      </c>
      <c r="E54" s="704">
        <f t="shared" si="13"/>
        <v>8.3000000000000007</v>
      </c>
      <c r="F54" s="704">
        <f>vmaxds*PI()/4*10^-3*$C$54^2*toleranz_vmax_dnds</f>
        <v>7.8610698523991447</v>
      </c>
      <c r="G54" s="704">
        <f t="shared" si="10"/>
        <v>28.29985146863692</v>
      </c>
      <c r="H54" s="705" t="e">
        <f>qpumpe_bp-qmin_dn65&gt;0</f>
        <v>#VALUE!</v>
      </c>
      <c r="I54" s="705" t="e">
        <f>qpumpe_bp-qmax_dn65&lt;0</f>
        <v>#VALUE!</v>
      </c>
      <c r="J54" s="401" t="e">
        <f t="shared" si="11"/>
        <v>#VALUE!</v>
      </c>
      <c r="K54" s="706">
        <f t="shared" si="12"/>
        <v>65</v>
      </c>
      <c r="L54" s="528">
        <v>1.03</v>
      </c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654"/>
      <c r="Y54" s="654"/>
      <c r="Z54" s="404"/>
      <c r="AA54" s="404"/>
      <c r="AB54" s="645" t="str">
        <f t="shared" si="8"/>
        <v>5</v>
      </c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  <c r="BF54" s="401"/>
      <c r="BG54" s="401"/>
      <c r="BH54" s="401"/>
      <c r="BI54" s="401"/>
      <c r="BJ54" s="401"/>
      <c r="BK54" s="401"/>
      <c r="BL54" s="401"/>
      <c r="BM54" s="401"/>
      <c r="BN54" s="401"/>
      <c r="BO54" s="401"/>
      <c r="BP54" s="401"/>
      <c r="BQ54" s="401"/>
      <c r="BR54" s="401"/>
      <c r="BS54" s="401"/>
      <c r="BT54" s="401"/>
      <c r="BU54" s="401"/>
      <c r="BV54" s="401"/>
      <c r="BW54" s="401"/>
      <c r="BX54" s="401"/>
      <c r="BY54" s="401"/>
      <c r="BZ54" s="401"/>
      <c r="CA54" s="401"/>
      <c r="CB54" s="401"/>
      <c r="CC54" s="401"/>
      <c r="CD54" s="401"/>
      <c r="CE54" s="401"/>
      <c r="CF54" s="401"/>
      <c r="CG54" s="401"/>
      <c r="CH54" s="401"/>
      <c r="CI54" s="401"/>
      <c r="CJ54" s="401"/>
      <c r="CK54" s="401"/>
      <c r="CL54" s="401"/>
      <c r="CM54" s="401"/>
      <c r="CN54" s="401"/>
      <c r="CO54" s="401"/>
      <c r="CP54" s="401"/>
      <c r="CQ54" s="401"/>
      <c r="CR54" s="401"/>
      <c r="CS54" s="401"/>
      <c r="CT54" s="401"/>
      <c r="CU54" s="401"/>
      <c r="CV54" s="401"/>
      <c r="CW54" s="401"/>
      <c r="CX54" s="401"/>
      <c r="CY54" s="401"/>
      <c r="CZ54" s="401"/>
      <c r="DA54" s="401"/>
      <c r="DB54" s="401"/>
      <c r="DC54" s="401"/>
      <c r="DD54" s="401"/>
      <c r="DE54" s="401"/>
      <c r="DF54" s="401"/>
      <c r="DG54" s="401"/>
      <c r="DH54" s="401"/>
      <c r="DI54" s="401"/>
      <c r="DJ54" s="401"/>
      <c r="DK54" s="401"/>
      <c r="DL54" s="401"/>
      <c r="DM54" s="401"/>
      <c r="DN54" s="401"/>
      <c r="DO54" s="401"/>
      <c r="DP54" s="401"/>
      <c r="DQ54" s="401"/>
      <c r="DR54" s="401"/>
      <c r="DS54" s="401"/>
    </row>
    <row r="55" spans="1:124" ht="15">
      <c r="A55" s="401"/>
      <c r="B55" s="401"/>
      <c r="C55" s="707">
        <v>80</v>
      </c>
      <c r="D55" s="587">
        <f>vminds*PI()/4*10^-3*$C$55^2</f>
        <v>3.5185837720205684</v>
      </c>
      <c r="E55" s="704">
        <f t="shared" si="13"/>
        <v>12.6</v>
      </c>
      <c r="F55" s="587">
        <f>vmaxds*PI()/4*10^-3*$C$55^2*toleranz_vmax_dnds</f>
        <v>11.907892794166751</v>
      </c>
      <c r="G55" s="587">
        <f t="shared" si="10"/>
        <v>42.868414059000301</v>
      </c>
      <c r="H55" s="705" t="e">
        <f>qpumpe_bp-qmin_dn80&gt;0</f>
        <v>#VALUE!</v>
      </c>
      <c r="I55" s="705" t="e">
        <f>qpumpe_bp-qmax_dn80&lt;0</f>
        <v>#VALUE!</v>
      </c>
      <c r="J55" s="401" t="e">
        <f t="shared" si="11"/>
        <v>#VALUE!</v>
      </c>
      <c r="K55" s="706">
        <f t="shared" si="12"/>
        <v>80</v>
      </c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644" t="str">
        <f>IF(LEFT($Y155,2)="UZ",MID($Y155,4,1),MID($Y155,3,1))</f>
        <v>1</v>
      </c>
      <c r="AC55" s="401"/>
      <c r="AD55" s="401"/>
      <c r="AE55" s="401"/>
      <c r="AF55" s="401"/>
      <c r="AG55" s="401"/>
      <c r="AH55" s="401"/>
      <c r="AI55" s="401"/>
      <c r="AJ55" s="401"/>
      <c r="AK55" s="401"/>
      <c r="AL55" s="401"/>
      <c r="AM55" s="401"/>
      <c r="AN55" s="401"/>
      <c r="AO55" s="401"/>
      <c r="AP55" s="401"/>
      <c r="AQ55" s="401"/>
      <c r="AR55" s="401"/>
      <c r="AS55" s="401"/>
      <c r="AT55" s="401"/>
      <c r="AU55" s="401"/>
      <c r="AV55" s="401"/>
      <c r="AW55" s="401"/>
      <c r="AX55" s="401"/>
      <c r="AY55" s="401"/>
      <c r="AZ55" s="401"/>
      <c r="BA55" s="401"/>
      <c r="BB55" s="401"/>
      <c r="BC55" s="401"/>
      <c r="BD55" s="401"/>
      <c r="BE55" s="401"/>
      <c r="BF55" s="401"/>
      <c r="BG55" s="401"/>
      <c r="BH55" s="401"/>
      <c r="BI55" s="401"/>
      <c r="BJ55" s="401"/>
      <c r="BK55" s="401"/>
      <c r="BL55" s="401"/>
      <c r="BM55" s="401"/>
      <c r="BN55" s="401"/>
      <c r="BO55" s="401"/>
      <c r="BP55" s="401"/>
      <c r="BQ55" s="401"/>
      <c r="BR55" s="401"/>
      <c r="BS55" s="401"/>
      <c r="BT55" s="401"/>
      <c r="BU55" s="401"/>
      <c r="BV55" s="401"/>
      <c r="BW55" s="401"/>
      <c r="BX55" s="401"/>
      <c r="BY55" s="401"/>
      <c r="BZ55" s="401"/>
      <c r="CA55" s="401"/>
      <c r="CB55" s="401"/>
      <c r="CC55" s="401"/>
      <c r="CD55" s="401"/>
      <c r="CE55" s="401"/>
      <c r="CF55" s="401"/>
      <c r="CG55" s="401"/>
      <c r="CH55" s="401"/>
      <c r="CI55" s="401"/>
      <c r="CJ55" s="401"/>
      <c r="CK55" s="401"/>
      <c r="CL55" s="401"/>
      <c r="CM55" s="401"/>
      <c r="CN55" s="401"/>
      <c r="CO55" s="401"/>
      <c r="CP55" s="401"/>
      <c r="CQ55" s="401"/>
      <c r="CR55" s="401"/>
      <c r="CS55" s="401"/>
      <c r="CT55" s="401"/>
      <c r="CU55" s="401"/>
      <c r="CV55" s="401"/>
      <c r="CW55" s="401"/>
      <c r="CX55" s="401"/>
      <c r="CY55" s="401"/>
      <c r="CZ55" s="401"/>
      <c r="DA55" s="401"/>
      <c r="DB55" s="401"/>
      <c r="DC55" s="401"/>
      <c r="DD55" s="401"/>
      <c r="DE55" s="401"/>
      <c r="DF55" s="401"/>
      <c r="DG55" s="401"/>
      <c r="DH55" s="401"/>
      <c r="DI55" s="401"/>
      <c r="DJ55" s="401"/>
      <c r="DK55" s="401"/>
      <c r="DL55" s="401"/>
      <c r="DM55" s="401"/>
      <c r="DN55" s="401"/>
      <c r="DO55" s="401"/>
      <c r="DP55" s="401"/>
      <c r="DQ55" s="401"/>
      <c r="DR55" s="401"/>
      <c r="DS55" s="401"/>
      <c r="DT55" s="401"/>
    </row>
    <row r="56" spans="1:124" ht="15">
      <c r="A56" s="401"/>
      <c r="B56" s="401"/>
      <c r="C56" s="707">
        <v>100</v>
      </c>
      <c r="D56" s="587">
        <f>vminds*PI()/4*10^-3*$C$56^2</f>
        <v>5.497787143782138</v>
      </c>
      <c r="E56" s="704">
        <f t="shared" si="13"/>
        <v>19.7</v>
      </c>
      <c r="F56" s="587">
        <f>vmaxds*PI()/4*10^-3*$C$56^2*toleranz_vmax_dnds</f>
        <v>18.606082490885548</v>
      </c>
      <c r="G56" s="587">
        <f t="shared" si="10"/>
        <v>66.981896967187978</v>
      </c>
      <c r="H56" s="705" t="e">
        <f>qpumpe_bp-qmin_dn100&gt;0</f>
        <v>#VALUE!</v>
      </c>
      <c r="I56" s="705" t="e">
        <f>qpumpe_bp-qmax_dn100&lt;0</f>
        <v>#VALUE!</v>
      </c>
      <c r="J56" s="401" t="e">
        <f t="shared" si="11"/>
        <v>#VALUE!</v>
      </c>
      <c r="K56" s="706">
        <f t="shared" si="12"/>
        <v>100</v>
      </c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644" t="str">
        <f>IF(LEFT($Y156,2)="UZ",MID($Y156,4,1),MID($Y156,3,1))</f>
        <v>1</v>
      </c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1"/>
      <c r="AY56" s="401"/>
      <c r="AZ56" s="401"/>
      <c r="BA56" s="401"/>
      <c r="BB56" s="401"/>
      <c r="BC56" s="401"/>
      <c r="BD56" s="401"/>
      <c r="BE56" s="401"/>
      <c r="BF56" s="401"/>
      <c r="BG56" s="401"/>
      <c r="BH56" s="401"/>
      <c r="BI56" s="401"/>
      <c r="BJ56" s="401"/>
      <c r="BK56" s="401"/>
      <c r="BL56" s="401"/>
      <c r="BM56" s="401"/>
      <c r="BN56" s="401"/>
      <c r="BO56" s="401"/>
      <c r="BP56" s="401"/>
      <c r="BQ56" s="401"/>
      <c r="BR56" s="401"/>
      <c r="BS56" s="401"/>
      <c r="BT56" s="401"/>
      <c r="BU56" s="401"/>
      <c r="BV56" s="401"/>
      <c r="BW56" s="401"/>
      <c r="BX56" s="401"/>
      <c r="BY56" s="401"/>
      <c r="BZ56" s="401"/>
      <c r="CA56" s="401"/>
      <c r="CB56" s="401"/>
      <c r="CC56" s="401"/>
      <c r="CD56" s="401"/>
      <c r="CE56" s="401"/>
      <c r="CF56" s="401"/>
      <c r="CG56" s="401"/>
      <c r="CH56" s="401"/>
      <c r="CI56" s="401"/>
      <c r="CJ56" s="401"/>
      <c r="CK56" s="401"/>
      <c r="CL56" s="401"/>
      <c r="CM56" s="401"/>
      <c r="CN56" s="401"/>
      <c r="CO56" s="401"/>
      <c r="CP56" s="401"/>
      <c r="CQ56" s="401"/>
      <c r="CR56" s="401"/>
      <c r="CS56" s="401"/>
      <c r="CT56" s="401"/>
      <c r="CU56" s="401"/>
      <c r="CV56" s="401"/>
      <c r="CW56" s="401"/>
      <c r="CX56" s="401"/>
      <c r="CY56" s="401"/>
      <c r="CZ56" s="401"/>
      <c r="DA56" s="401"/>
      <c r="DB56" s="401"/>
      <c r="DC56" s="401"/>
      <c r="DD56" s="401"/>
      <c r="DE56" s="401"/>
      <c r="DF56" s="401"/>
      <c r="DG56" s="401"/>
      <c r="DH56" s="401"/>
      <c r="DI56" s="401"/>
      <c r="DJ56" s="401"/>
      <c r="DK56" s="401"/>
      <c r="DL56" s="401"/>
      <c r="DM56" s="401"/>
      <c r="DN56" s="401"/>
      <c r="DO56" s="401"/>
      <c r="DP56" s="401"/>
      <c r="DQ56" s="401"/>
      <c r="DR56" s="401"/>
      <c r="DS56" s="401"/>
      <c r="DT56" s="401"/>
    </row>
    <row r="57" spans="1:124" ht="15">
      <c r="A57" s="401"/>
      <c r="B57" s="401"/>
      <c r="C57" s="707">
        <v>125</v>
      </c>
      <c r="D57" s="587">
        <f>vminds*PI()/4*10^-3*$C$57^2</f>
        <v>8.5902924121595916</v>
      </c>
      <c r="E57" s="704">
        <f t="shared" si="13"/>
        <v>30.9</v>
      </c>
      <c r="F57" s="587">
        <f>vmaxds*PI()/4*10^-3*$C$57^2*toleranz_vmax_dnds</f>
        <v>29.07200389200867</v>
      </c>
      <c r="G57" s="587">
        <f t="shared" si="10"/>
        <v>104.65921401123121</v>
      </c>
      <c r="H57" s="705" t="e">
        <f>qpumpe_bp-qmin_dn125&gt;0</f>
        <v>#VALUE!</v>
      </c>
      <c r="I57" s="705" t="e">
        <f>qpumpe_bp-qmax_dn150&lt;0</f>
        <v>#VALUE!</v>
      </c>
      <c r="J57" s="401" t="e">
        <f t="shared" si="11"/>
        <v>#VALUE!</v>
      </c>
      <c r="K57" s="706">
        <f t="shared" si="12"/>
        <v>125</v>
      </c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644" t="str">
        <f>IF(LEFT($Y157,2)="UZ",MID($Y157,4,1),MID($Y157,3,1))</f>
        <v>2</v>
      </c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401"/>
      <c r="AO57" s="401"/>
      <c r="AP57" s="401"/>
      <c r="AQ57" s="401"/>
      <c r="AR57" s="401"/>
      <c r="AS57" s="401"/>
      <c r="AT57" s="401"/>
      <c r="AU57" s="401"/>
      <c r="AV57" s="401"/>
      <c r="AW57" s="401"/>
      <c r="AX57" s="401"/>
      <c r="AY57" s="401"/>
      <c r="AZ57" s="401"/>
      <c r="BA57" s="401"/>
      <c r="BB57" s="401"/>
      <c r="BC57" s="401"/>
      <c r="BD57" s="401"/>
      <c r="BE57" s="401"/>
      <c r="BF57" s="401"/>
      <c r="BG57" s="401"/>
      <c r="BH57" s="401"/>
      <c r="BI57" s="401"/>
      <c r="BJ57" s="401"/>
      <c r="BK57" s="401"/>
      <c r="BL57" s="401"/>
      <c r="BM57" s="401"/>
      <c r="BN57" s="401"/>
      <c r="BO57" s="401"/>
      <c r="BP57" s="401"/>
      <c r="BQ57" s="401"/>
      <c r="BR57" s="401"/>
      <c r="BS57" s="401"/>
      <c r="BT57" s="401"/>
      <c r="BU57" s="401"/>
      <c r="BV57" s="401"/>
      <c r="BW57" s="401"/>
      <c r="BX57" s="401"/>
      <c r="BY57" s="401"/>
      <c r="BZ57" s="401"/>
      <c r="CA57" s="401"/>
      <c r="CB57" s="401"/>
      <c r="CC57" s="401"/>
      <c r="CD57" s="401"/>
      <c r="CE57" s="401"/>
      <c r="CF57" s="401"/>
      <c r="CG57" s="401"/>
      <c r="CH57" s="401"/>
      <c r="CI57" s="401"/>
      <c r="CJ57" s="401"/>
      <c r="CK57" s="401"/>
      <c r="CL57" s="401"/>
      <c r="CM57" s="401"/>
      <c r="CN57" s="401"/>
      <c r="CO57" s="401"/>
      <c r="CP57" s="401"/>
      <c r="CQ57" s="401"/>
      <c r="CR57" s="401"/>
      <c r="CS57" s="401"/>
      <c r="CT57" s="401"/>
      <c r="CU57" s="401"/>
      <c r="CV57" s="401"/>
      <c r="CW57" s="401"/>
      <c r="CX57" s="401"/>
      <c r="CY57" s="401"/>
      <c r="CZ57" s="401"/>
      <c r="DA57" s="401"/>
      <c r="DB57" s="401"/>
      <c r="DC57" s="401"/>
      <c r="DD57" s="401"/>
      <c r="DE57" s="401"/>
      <c r="DF57" s="401"/>
      <c r="DG57" s="401"/>
      <c r="DH57" s="401"/>
      <c r="DI57" s="401"/>
      <c r="DJ57" s="401"/>
      <c r="DK57" s="401"/>
      <c r="DL57" s="401"/>
      <c r="DM57" s="401"/>
      <c r="DN57" s="401"/>
      <c r="DO57" s="401"/>
      <c r="DP57" s="401"/>
      <c r="DQ57" s="401"/>
      <c r="DR57" s="401"/>
      <c r="DS57" s="401"/>
      <c r="DT57" s="401"/>
    </row>
    <row r="58" spans="1:124" ht="15">
      <c r="A58" s="401"/>
      <c r="B58" s="401"/>
      <c r="C58" s="707">
        <v>150</v>
      </c>
      <c r="D58" s="587">
        <f>vminds*PI()/4*10^-3*$C$58^2</f>
        <v>12.370021073509811</v>
      </c>
      <c r="E58" s="704">
        <f t="shared" si="13"/>
        <v>44.5</v>
      </c>
      <c r="F58" s="587">
        <f>vmaxds*PI()/4*10^-3*$C$58^2*toleranz_vmax_dnds</f>
        <v>41.863685604492488</v>
      </c>
      <c r="G58" s="587">
        <f t="shared" si="10"/>
        <v>150.70926817617297</v>
      </c>
      <c r="H58" s="705" t="e">
        <f>qpumpe_bp-qmin_dn150&gt;0</f>
        <v>#VALUE!</v>
      </c>
      <c r="I58" s="705" t="e">
        <f>qpumpe_bp-qmax_dn150&lt;0</f>
        <v>#VALUE!</v>
      </c>
      <c r="J58" s="401" t="e">
        <f t="shared" si="11"/>
        <v>#VALUE!</v>
      </c>
      <c r="K58" s="706">
        <f t="shared" si="12"/>
        <v>150</v>
      </c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644" t="str">
        <f>IF(LEFT($Y158,2)="UZ",MID($Y158,4,1),MID($Y158,3,1))</f>
        <v>1</v>
      </c>
      <c r="AC58" s="401"/>
      <c r="AD58" s="401"/>
      <c r="AE58" s="401"/>
      <c r="AF58" s="401"/>
      <c r="AG58" s="401"/>
      <c r="AH58" s="401"/>
      <c r="AI58" s="401"/>
      <c r="AJ58" s="401"/>
      <c r="AK58" s="401"/>
      <c r="AL58" s="401"/>
      <c r="AM58" s="401"/>
      <c r="AN58" s="401"/>
      <c r="AO58" s="401"/>
      <c r="AP58" s="401"/>
      <c r="AQ58" s="401"/>
      <c r="AR58" s="401"/>
      <c r="AS58" s="401"/>
      <c r="AT58" s="401"/>
      <c r="AU58" s="401"/>
      <c r="AV58" s="401"/>
      <c r="AW58" s="401"/>
      <c r="AX58" s="401"/>
      <c r="AY58" s="401"/>
      <c r="AZ58" s="401"/>
      <c r="BA58" s="401"/>
      <c r="BB58" s="401"/>
      <c r="BC58" s="401"/>
      <c r="BD58" s="401"/>
      <c r="BE58" s="401"/>
      <c r="BF58" s="401"/>
      <c r="BG58" s="401"/>
      <c r="BH58" s="401"/>
      <c r="BI58" s="401"/>
      <c r="BJ58" s="401"/>
      <c r="BK58" s="401"/>
      <c r="BL58" s="401"/>
      <c r="BM58" s="401"/>
      <c r="BN58" s="401"/>
      <c r="BO58" s="401"/>
      <c r="BP58" s="401"/>
      <c r="BQ58" s="401"/>
      <c r="BR58" s="401"/>
      <c r="BS58" s="401"/>
      <c r="BT58" s="401"/>
      <c r="BU58" s="401"/>
      <c r="BV58" s="401"/>
      <c r="BW58" s="401"/>
      <c r="BX58" s="401"/>
      <c r="BY58" s="401"/>
      <c r="BZ58" s="401"/>
      <c r="CA58" s="401"/>
      <c r="CB58" s="401"/>
      <c r="CC58" s="401"/>
      <c r="CD58" s="401"/>
      <c r="CE58" s="401"/>
      <c r="CF58" s="401"/>
      <c r="CG58" s="401"/>
      <c r="CH58" s="401"/>
      <c r="CI58" s="401"/>
      <c r="CJ58" s="401"/>
      <c r="CK58" s="401"/>
      <c r="CL58" s="401"/>
      <c r="CM58" s="401"/>
      <c r="CN58" s="401"/>
      <c r="CO58" s="401"/>
      <c r="CP58" s="401"/>
      <c r="CQ58" s="401"/>
      <c r="CR58" s="401"/>
      <c r="CS58" s="401"/>
      <c r="CT58" s="401"/>
      <c r="CU58" s="401"/>
      <c r="CV58" s="401"/>
      <c r="CW58" s="401"/>
      <c r="CX58" s="401"/>
      <c r="CY58" s="401"/>
      <c r="CZ58" s="401"/>
      <c r="DA58" s="401"/>
      <c r="DB58" s="401"/>
      <c r="DC58" s="401"/>
      <c r="DD58" s="401"/>
      <c r="DE58" s="401"/>
      <c r="DF58" s="401"/>
      <c r="DG58" s="401"/>
      <c r="DH58" s="401"/>
      <c r="DI58" s="401"/>
      <c r="DJ58" s="401"/>
      <c r="DK58" s="401"/>
      <c r="DL58" s="401"/>
      <c r="DM58" s="401"/>
      <c r="DN58" s="401"/>
      <c r="DO58" s="401"/>
      <c r="DP58" s="401"/>
      <c r="DQ58" s="401"/>
      <c r="DR58" s="401"/>
      <c r="DS58" s="401"/>
      <c r="DT58" s="401"/>
    </row>
    <row r="59" spans="1:124" ht="15">
      <c r="A59" s="401"/>
      <c r="B59" s="401"/>
      <c r="C59" s="707">
        <v>200</v>
      </c>
      <c r="D59" s="587">
        <f>vminds*PI()/4*10^-3*$C$59^2</f>
        <v>21.991148575128552</v>
      </c>
      <c r="E59" s="704">
        <f t="shared" si="13"/>
        <v>79.099999999999994</v>
      </c>
      <c r="F59" s="587">
        <f>vmaxds*PI()/4*10^-3*$C$59^2*toleranz_vmax_dnds</f>
        <v>74.424329963542192</v>
      </c>
      <c r="G59" s="587">
        <f t="shared" si="10"/>
        <v>267.92758786875191</v>
      </c>
      <c r="H59" s="705" t="e">
        <f>qpumpe_bp-qmin_dn200&gt;0</f>
        <v>#VALUE!</v>
      </c>
      <c r="I59" s="705" t="e">
        <f>qpumpe_bp-qmax_dn200&lt;0</f>
        <v>#VALUE!</v>
      </c>
      <c r="J59" s="401" t="e">
        <f t="shared" si="11"/>
        <v>#VALUE!</v>
      </c>
      <c r="K59" s="598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644" t="str">
        <f>IF(LEFT($Y159,2)="UZ",MID($Y159,4,1),MID($Y159,3,1))</f>
        <v>2</v>
      </c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401"/>
      <c r="AY59" s="401"/>
      <c r="AZ59" s="401"/>
      <c r="BA59" s="401"/>
      <c r="BB59" s="401"/>
      <c r="BC59" s="401"/>
      <c r="BD59" s="401"/>
      <c r="BE59" s="401"/>
      <c r="BF59" s="401"/>
      <c r="BG59" s="401"/>
      <c r="BH59" s="401"/>
      <c r="BI59" s="401"/>
      <c r="BJ59" s="401"/>
      <c r="BK59" s="401"/>
      <c r="BL59" s="401"/>
      <c r="BM59" s="401"/>
      <c r="BN59" s="401"/>
      <c r="BO59" s="401"/>
      <c r="BP59" s="401"/>
      <c r="BQ59" s="401"/>
      <c r="BR59" s="401"/>
      <c r="BS59" s="401"/>
      <c r="BT59" s="401"/>
      <c r="BU59" s="401"/>
      <c r="BV59" s="401"/>
      <c r="BW59" s="401"/>
      <c r="BX59" s="401"/>
      <c r="BY59" s="401"/>
      <c r="BZ59" s="401"/>
      <c r="CA59" s="401"/>
      <c r="CB59" s="401"/>
      <c r="CC59" s="401"/>
      <c r="CD59" s="401"/>
      <c r="CE59" s="401"/>
      <c r="CF59" s="401"/>
      <c r="CG59" s="401"/>
      <c r="CH59" s="401"/>
      <c r="CI59" s="401"/>
      <c r="CJ59" s="401"/>
      <c r="CK59" s="401"/>
      <c r="CL59" s="401"/>
      <c r="CM59" s="401"/>
      <c r="CN59" s="401"/>
      <c r="CO59" s="401"/>
      <c r="CP59" s="401"/>
      <c r="CQ59" s="401"/>
      <c r="CR59" s="401"/>
      <c r="CS59" s="401"/>
      <c r="CT59" s="401"/>
      <c r="CU59" s="401"/>
      <c r="CV59" s="401"/>
      <c r="CW59" s="401"/>
      <c r="CX59" s="401"/>
      <c r="CY59" s="401"/>
      <c r="CZ59" s="401"/>
      <c r="DA59" s="401"/>
      <c r="DB59" s="401"/>
      <c r="DC59" s="401"/>
      <c r="DD59" s="401"/>
      <c r="DE59" s="401"/>
      <c r="DF59" s="401"/>
      <c r="DG59" s="401"/>
      <c r="DH59" s="401"/>
      <c r="DI59" s="401"/>
      <c r="DJ59" s="401"/>
      <c r="DK59" s="401"/>
      <c r="DL59" s="401"/>
      <c r="DM59" s="401"/>
      <c r="DN59" s="401"/>
      <c r="DO59" s="401"/>
      <c r="DP59" s="401"/>
      <c r="DQ59" s="401"/>
      <c r="DR59" s="401"/>
      <c r="DS59" s="401"/>
      <c r="DT59" s="401"/>
    </row>
    <row r="60" spans="1:124" ht="15">
      <c r="A60" s="608" t="s">
        <v>36</v>
      </c>
      <c r="B60" s="708" t="s">
        <v>37</v>
      </c>
      <c r="C60" s="709">
        <v>0.7</v>
      </c>
      <c r="D60" s="699" t="s">
        <v>38</v>
      </c>
      <c r="E60" s="671"/>
      <c r="F60" s="608"/>
      <c r="G60" s="608"/>
      <c r="H60" s="401"/>
      <c r="I60" s="401"/>
      <c r="L60" s="401"/>
      <c r="M60" s="401"/>
      <c r="N60" s="401"/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644"/>
      <c r="AC60" s="401"/>
      <c r="AD60" s="401"/>
      <c r="AE60" s="401"/>
      <c r="AF60" s="401"/>
      <c r="AG60" s="401"/>
      <c r="AH60" s="401"/>
      <c r="AI60" s="401"/>
      <c r="AJ60" s="401"/>
      <c r="AK60" s="401"/>
      <c r="AL60" s="401"/>
      <c r="AM60" s="401"/>
      <c r="AN60" s="401"/>
      <c r="AO60" s="401"/>
      <c r="AP60" s="401"/>
      <c r="AQ60" s="401"/>
      <c r="AR60" s="401"/>
      <c r="AS60" s="401"/>
      <c r="AT60" s="401"/>
      <c r="AU60" s="401"/>
      <c r="AV60" s="401"/>
      <c r="AW60" s="401"/>
      <c r="AX60" s="401"/>
      <c r="AY60" s="401"/>
      <c r="AZ60" s="401"/>
      <c r="BA60" s="401"/>
      <c r="BB60" s="401"/>
      <c r="BC60" s="401"/>
      <c r="BD60" s="401"/>
      <c r="BE60" s="401"/>
      <c r="BF60" s="401"/>
      <c r="BG60" s="401"/>
      <c r="BH60" s="401"/>
      <c r="BI60" s="401"/>
      <c r="BJ60" s="401"/>
      <c r="BK60" s="401"/>
      <c r="BL60" s="401"/>
      <c r="BM60" s="401"/>
      <c r="BN60" s="401"/>
      <c r="BO60" s="401"/>
      <c r="BP60" s="401"/>
      <c r="BQ60" s="401"/>
      <c r="BR60" s="401"/>
      <c r="BS60" s="401"/>
      <c r="BT60" s="401"/>
      <c r="BU60" s="401"/>
      <c r="BV60" s="401"/>
      <c r="BW60" s="401"/>
      <c r="BX60" s="401"/>
      <c r="BY60" s="401"/>
      <c r="BZ60" s="401"/>
      <c r="CA60" s="401"/>
      <c r="CB60" s="401"/>
      <c r="CC60" s="401"/>
      <c r="CD60" s="401"/>
      <c r="CE60" s="401"/>
      <c r="CF60" s="401"/>
      <c r="CG60" s="401"/>
      <c r="CH60" s="401"/>
      <c r="CI60" s="401"/>
      <c r="CJ60" s="401"/>
      <c r="CK60" s="401"/>
      <c r="CL60" s="401"/>
      <c r="CM60" s="401"/>
      <c r="CN60" s="401"/>
      <c r="CO60" s="401"/>
      <c r="CP60" s="401"/>
      <c r="CQ60" s="401"/>
      <c r="CR60" s="401"/>
      <c r="CS60" s="401"/>
      <c r="CT60" s="401"/>
      <c r="CU60" s="401"/>
      <c r="CV60" s="401"/>
      <c r="CW60" s="401"/>
      <c r="CX60" s="401"/>
      <c r="CY60" s="401"/>
      <c r="CZ60" s="401"/>
      <c r="DA60" s="401"/>
      <c r="DB60" s="401"/>
      <c r="DC60" s="401"/>
      <c r="DD60" s="401"/>
      <c r="DE60" s="401"/>
      <c r="DF60" s="401"/>
      <c r="DG60" s="401"/>
      <c r="DH60" s="401"/>
      <c r="DI60" s="401"/>
      <c r="DJ60" s="401"/>
      <c r="DK60" s="401"/>
      <c r="DL60" s="401"/>
      <c r="DM60" s="401"/>
      <c r="DN60" s="401"/>
      <c r="DO60" s="401"/>
      <c r="DP60" s="401"/>
      <c r="DQ60" s="401"/>
      <c r="DR60" s="401"/>
      <c r="DS60" s="401"/>
      <c r="DT60" s="401"/>
    </row>
    <row r="61" spans="1:124" ht="12.75">
      <c r="A61" s="617"/>
      <c r="B61" s="710" t="s">
        <v>39</v>
      </c>
      <c r="C61" s="711">
        <v>2.2999999999999998</v>
      </c>
      <c r="D61" s="712" t="s">
        <v>38</v>
      </c>
      <c r="E61" s="611"/>
      <c r="F61" s="401"/>
      <c r="G61" s="401"/>
      <c r="H61" s="401"/>
      <c r="I61" s="401"/>
      <c r="L61" s="401"/>
      <c r="M61" s="713"/>
      <c r="N61" s="713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401"/>
      <c r="AY61" s="401"/>
      <c r="AZ61" s="401"/>
      <c r="BA61" s="401"/>
      <c r="BB61" s="401"/>
      <c r="BC61" s="401"/>
      <c r="BD61" s="401"/>
      <c r="BE61" s="401"/>
      <c r="BF61" s="401"/>
      <c r="BG61" s="401"/>
      <c r="BH61" s="401"/>
      <c r="BI61" s="401"/>
      <c r="BJ61" s="401"/>
      <c r="BK61" s="401"/>
      <c r="BL61" s="401"/>
      <c r="BM61" s="401"/>
      <c r="BN61" s="401"/>
      <c r="BO61" s="401"/>
      <c r="BP61" s="401"/>
      <c r="BQ61" s="401"/>
      <c r="BR61" s="401"/>
      <c r="BS61" s="401"/>
      <c r="BT61" s="401"/>
      <c r="BU61" s="401"/>
      <c r="BV61" s="401"/>
      <c r="BW61" s="401"/>
      <c r="BX61" s="401"/>
      <c r="BY61" s="401"/>
      <c r="BZ61" s="401"/>
      <c r="CA61" s="401"/>
      <c r="CB61" s="401"/>
      <c r="CC61" s="401"/>
      <c r="CD61" s="401"/>
      <c r="CE61" s="401"/>
      <c r="CF61" s="401"/>
      <c r="CG61" s="401"/>
      <c r="CH61" s="401"/>
      <c r="CI61" s="401"/>
      <c r="CJ61" s="401"/>
      <c r="CK61" s="401"/>
      <c r="CL61" s="401"/>
      <c r="CM61" s="401"/>
      <c r="CN61" s="401"/>
      <c r="CO61" s="401"/>
      <c r="CP61" s="401"/>
      <c r="CQ61" s="401"/>
      <c r="CR61" s="401"/>
      <c r="CS61" s="401"/>
      <c r="CT61" s="401"/>
      <c r="CU61" s="401"/>
      <c r="CV61" s="401"/>
      <c r="CW61" s="401"/>
      <c r="CX61" s="401"/>
      <c r="CY61" s="401"/>
      <c r="CZ61" s="401"/>
      <c r="DA61" s="401"/>
      <c r="DB61" s="401"/>
      <c r="DC61" s="401"/>
      <c r="DD61" s="401"/>
      <c r="DE61" s="401"/>
      <c r="DF61" s="401"/>
      <c r="DG61" s="401"/>
      <c r="DH61" s="401"/>
      <c r="DI61" s="401"/>
      <c r="DJ61" s="401"/>
      <c r="DK61" s="401"/>
      <c r="DL61" s="401"/>
      <c r="DM61" s="401"/>
      <c r="DN61" s="401"/>
      <c r="DO61" s="401"/>
      <c r="DP61" s="401"/>
      <c r="DQ61" s="401"/>
      <c r="DR61" s="401"/>
      <c r="DS61" s="401"/>
      <c r="DT61" s="401"/>
    </row>
    <row r="62" spans="1:124" ht="14.25">
      <c r="A62" s="714" t="s">
        <v>205</v>
      </c>
      <c r="B62" s="715">
        <v>0.85</v>
      </c>
      <c r="C62" s="401"/>
      <c r="D62" s="608"/>
      <c r="E62" s="401"/>
      <c r="F62" s="401"/>
      <c r="G62" s="401"/>
      <c r="H62" s="401"/>
      <c r="I62" s="401"/>
      <c r="L62" s="401"/>
      <c r="M62" s="716"/>
      <c r="N62" s="717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  <c r="AH62" s="401"/>
      <c r="AI62" s="401"/>
      <c r="AJ62" s="401"/>
      <c r="AK62" s="401"/>
      <c r="AL62" s="401"/>
      <c r="AM62" s="401"/>
      <c r="AN62" s="401"/>
      <c r="AO62" s="401"/>
      <c r="AP62" s="401"/>
      <c r="AQ62" s="401"/>
      <c r="AR62" s="401"/>
      <c r="AS62" s="401"/>
      <c r="AT62" s="401"/>
      <c r="AU62" s="401"/>
      <c r="AV62" s="401"/>
      <c r="AW62" s="401"/>
      <c r="AX62" s="401"/>
      <c r="AY62" s="401"/>
      <c r="AZ62" s="401"/>
      <c r="BA62" s="401"/>
      <c r="BB62" s="401"/>
      <c r="BC62" s="401"/>
      <c r="BD62" s="401"/>
      <c r="BE62" s="401"/>
      <c r="BF62" s="401"/>
      <c r="BG62" s="401"/>
      <c r="BH62" s="401"/>
      <c r="BI62" s="401"/>
      <c r="BJ62" s="401"/>
      <c r="BK62" s="401"/>
      <c r="BL62" s="401"/>
      <c r="BM62" s="401"/>
      <c r="BN62" s="401"/>
      <c r="BO62" s="401"/>
      <c r="BP62" s="401"/>
      <c r="BQ62" s="401"/>
      <c r="BR62" s="401"/>
      <c r="BS62" s="401"/>
      <c r="BT62" s="401"/>
      <c r="BU62" s="401"/>
      <c r="BV62" s="401"/>
      <c r="BW62" s="401"/>
      <c r="BX62" s="401"/>
      <c r="BY62" s="401"/>
      <c r="BZ62" s="401"/>
      <c r="CA62" s="401"/>
      <c r="CB62" s="401"/>
      <c r="CC62" s="401"/>
      <c r="CD62" s="401"/>
      <c r="CE62" s="401"/>
      <c r="CF62" s="401"/>
      <c r="CG62" s="401"/>
      <c r="CH62" s="401"/>
      <c r="CI62" s="401"/>
      <c r="CJ62" s="401"/>
      <c r="CK62" s="401"/>
      <c r="CL62" s="401"/>
      <c r="CM62" s="401"/>
      <c r="CN62" s="401"/>
      <c r="CO62" s="401"/>
      <c r="CP62" s="401"/>
      <c r="CQ62" s="401"/>
      <c r="CR62" s="401"/>
      <c r="CS62" s="401"/>
      <c r="CT62" s="401"/>
      <c r="CU62" s="401"/>
      <c r="CV62" s="401"/>
      <c r="CW62" s="401"/>
      <c r="CX62" s="401"/>
      <c r="CY62" s="401"/>
      <c r="CZ62" s="401"/>
      <c r="DA62" s="401"/>
      <c r="DB62" s="401"/>
      <c r="DC62" s="401"/>
      <c r="DD62" s="401"/>
      <c r="DE62" s="401"/>
      <c r="DF62" s="401"/>
      <c r="DG62" s="401"/>
      <c r="DH62" s="401"/>
      <c r="DI62" s="401"/>
      <c r="DJ62" s="401"/>
      <c r="DK62" s="401"/>
      <c r="DL62" s="401"/>
      <c r="DM62" s="401"/>
      <c r="DN62" s="401"/>
      <c r="DO62" s="401"/>
      <c r="DP62" s="401"/>
      <c r="DQ62" s="401"/>
      <c r="DR62" s="401"/>
      <c r="DS62" s="401"/>
      <c r="DT62" s="401"/>
    </row>
    <row r="63" spans="1:124" ht="14.25">
      <c r="A63" s="401" t="s">
        <v>42</v>
      </c>
      <c r="B63" s="401"/>
      <c r="C63" s="401"/>
      <c r="D63" s="718"/>
      <c r="E63" s="401"/>
      <c r="F63" s="401"/>
      <c r="G63" s="401"/>
      <c r="H63" s="401"/>
      <c r="I63" s="401"/>
      <c r="J63" s="598"/>
      <c r="K63" s="401"/>
      <c r="L63" s="401"/>
      <c r="M63" s="719"/>
      <c r="N63" s="720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  <c r="AH63" s="401"/>
      <c r="AI63" s="401"/>
      <c r="AJ63" s="401"/>
      <c r="AK63" s="401"/>
      <c r="AL63" s="401"/>
      <c r="AM63" s="401"/>
      <c r="AN63" s="401"/>
      <c r="AO63" s="401"/>
      <c r="AP63" s="401"/>
      <c r="AQ63" s="401"/>
      <c r="AR63" s="401"/>
      <c r="AS63" s="401"/>
      <c r="AT63" s="401"/>
      <c r="AU63" s="401"/>
      <c r="AV63" s="401"/>
      <c r="AW63" s="401"/>
      <c r="AX63" s="401"/>
      <c r="AY63" s="401"/>
      <c r="AZ63" s="401"/>
      <c r="BA63" s="401"/>
      <c r="BB63" s="401"/>
      <c r="BC63" s="401"/>
      <c r="BD63" s="401"/>
      <c r="BE63" s="401"/>
      <c r="BF63" s="401"/>
      <c r="BG63" s="401"/>
      <c r="BH63" s="401"/>
      <c r="BI63" s="401"/>
      <c r="BJ63" s="401"/>
      <c r="BK63" s="401"/>
      <c r="BL63" s="401"/>
      <c r="BM63" s="401"/>
      <c r="BN63" s="401"/>
      <c r="BO63" s="401"/>
      <c r="BP63" s="401"/>
      <c r="BQ63" s="401"/>
      <c r="BR63" s="401"/>
      <c r="BS63" s="401"/>
      <c r="BT63" s="401"/>
      <c r="BU63" s="401"/>
      <c r="BV63" s="401"/>
      <c r="BW63" s="401"/>
      <c r="BX63" s="401"/>
      <c r="BY63" s="401"/>
      <c r="BZ63" s="401"/>
      <c r="CA63" s="401"/>
      <c r="CB63" s="401"/>
      <c r="CC63" s="401"/>
      <c r="CD63" s="401"/>
      <c r="CE63" s="401"/>
      <c r="CF63" s="401"/>
      <c r="CG63" s="401"/>
      <c r="CH63" s="401"/>
      <c r="CI63" s="401"/>
      <c r="CJ63" s="401"/>
      <c r="CK63" s="401"/>
      <c r="CL63" s="401"/>
      <c r="CM63" s="401"/>
      <c r="CN63" s="401"/>
      <c r="CO63" s="401"/>
      <c r="CP63" s="401"/>
      <c r="CQ63" s="401"/>
      <c r="CR63" s="401"/>
      <c r="CS63" s="401"/>
      <c r="CT63" s="401"/>
      <c r="CU63" s="401"/>
      <c r="CV63" s="401"/>
      <c r="CW63" s="401"/>
      <c r="CX63" s="401"/>
      <c r="CY63" s="401"/>
      <c r="CZ63" s="401"/>
      <c r="DA63" s="401"/>
      <c r="DB63" s="401"/>
      <c r="DC63" s="401"/>
      <c r="DD63" s="401"/>
      <c r="DE63" s="401"/>
      <c r="DF63" s="401"/>
      <c r="DG63" s="401"/>
      <c r="DH63" s="401"/>
      <c r="DI63" s="401"/>
      <c r="DJ63" s="401"/>
      <c r="DK63" s="401"/>
      <c r="DL63" s="401"/>
      <c r="DM63" s="401"/>
      <c r="DN63" s="401"/>
      <c r="DO63" s="401"/>
      <c r="DP63" s="401"/>
      <c r="DQ63" s="401"/>
      <c r="DR63" s="401"/>
      <c r="DS63" s="401"/>
      <c r="DT63" s="401"/>
    </row>
    <row r="64" spans="1:124" ht="14.25">
      <c r="A64" s="608" t="s">
        <v>49</v>
      </c>
      <c r="B64" s="608" t="s">
        <v>50</v>
      </c>
      <c r="C64" s="608">
        <f>10^3/3600</f>
        <v>0.27777777777777779</v>
      </c>
      <c r="D64" s="718"/>
      <c r="E64" s="401"/>
      <c r="F64" s="401"/>
      <c r="G64" s="401"/>
      <c r="H64" s="401"/>
      <c r="I64" s="401"/>
      <c r="J64" s="598"/>
      <c r="K64" s="401"/>
      <c r="L64" s="401"/>
      <c r="M64" s="719"/>
      <c r="N64" s="720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401"/>
      <c r="AY64" s="401"/>
      <c r="AZ64" s="401"/>
      <c r="BA64" s="401"/>
      <c r="BB64" s="401"/>
      <c r="BC64" s="401"/>
      <c r="BD64" s="401"/>
      <c r="BE64" s="401"/>
      <c r="BF64" s="401"/>
      <c r="BG64" s="401"/>
      <c r="BH64" s="401"/>
      <c r="BI64" s="401"/>
      <c r="BJ64" s="401"/>
      <c r="BK64" s="401"/>
      <c r="BL64" s="401"/>
      <c r="BM64" s="401"/>
      <c r="BN64" s="401"/>
      <c r="BO64" s="401"/>
      <c r="BP64" s="401"/>
      <c r="BQ64" s="401"/>
      <c r="BR64" s="401"/>
      <c r="BS64" s="401"/>
      <c r="BT64" s="401"/>
      <c r="BU64" s="401"/>
      <c r="BV64" s="401"/>
      <c r="BW64" s="401"/>
      <c r="BX64" s="401"/>
      <c r="BY64" s="401"/>
      <c r="BZ64" s="401"/>
      <c r="CA64" s="401"/>
      <c r="CB64" s="401"/>
      <c r="CC64" s="401"/>
      <c r="CD64" s="401"/>
      <c r="CE64" s="401"/>
      <c r="CF64" s="401"/>
      <c r="CG64" s="401"/>
      <c r="CH64" s="401"/>
      <c r="CI64" s="401"/>
      <c r="CJ64" s="401"/>
      <c r="CK64" s="401"/>
      <c r="CL64" s="401"/>
      <c r="CM64" s="401"/>
      <c r="CN64" s="401"/>
      <c r="CO64" s="401"/>
      <c r="CP64" s="401"/>
      <c r="CQ64" s="401"/>
      <c r="CR64" s="401"/>
      <c r="CS64" s="401"/>
      <c r="CT64" s="401"/>
      <c r="CU64" s="401"/>
      <c r="CV64" s="401"/>
      <c r="CW64" s="401"/>
      <c r="CX64" s="401"/>
      <c r="CY64" s="401"/>
      <c r="CZ64" s="401"/>
      <c r="DA64" s="401"/>
      <c r="DB64" s="401"/>
      <c r="DC64" s="401"/>
      <c r="DD64" s="401"/>
      <c r="DE64" s="401"/>
      <c r="DF64" s="401"/>
      <c r="DG64" s="401"/>
      <c r="DH64" s="401"/>
      <c r="DI64" s="401"/>
      <c r="DJ64" s="401"/>
      <c r="DK64" s="401"/>
      <c r="DL64" s="401"/>
      <c r="DM64" s="401"/>
      <c r="DN64" s="401"/>
      <c r="DO64" s="401"/>
      <c r="DP64" s="401"/>
      <c r="DQ64" s="401"/>
      <c r="DR64" s="401"/>
      <c r="DS64" s="401"/>
      <c r="DT64" s="401"/>
    </row>
    <row r="65" spans="1:126" ht="14.25">
      <c r="A65" s="401"/>
      <c r="B65" s="401"/>
      <c r="C65" s="718"/>
      <c r="D65" s="718"/>
      <c r="E65" s="657"/>
      <c r="F65" s="401"/>
      <c r="G65" s="401"/>
      <c r="H65" s="401"/>
      <c r="I65" s="401"/>
      <c r="J65" s="401"/>
      <c r="K65" s="401"/>
      <c r="L65" s="401"/>
      <c r="M65" s="719"/>
      <c r="N65" s="720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401"/>
      <c r="AY65" s="401"/>
      <c r="AZ65" s="401"/>
      <c r="BA65" s="401"/>
      <c r="BB65" s="401"/>
      <c r="BC65" s="401"/>
      <c r="BD65" s="401"/>
      <c r="BE65" s="401"/>
      <c r="BF65" s="401"/>
      <c r="BG65" s="401"/>
      <c r="BH65" s="401"/>
      <c r="BI65" s="401"/>
      <c r="BJ65" s="401"/>
      <c r="BK65" s="401"/>
      <c r="BL65" s="401"/>
      <c r="BM65" s="401"/>
      <c r="BN65" s="401"/>
      <c r="BO65" s="401"/>
      <c r="BP65" s="401"/>
      <c r="BQ65" s="401"/>
      <c r="BR65" s="401"/>
      <c r="BS65" s="401"/>
      <c r="BT65" s="401"/>
      <c r="BU65" s="401"/>
      <c r="BV65" s="401"/>
      <c r="BW65" s="401"/>
      <c r="BX65" s="401"/>
      <c r="BY65" s="401"/>
      <c r="BZ65" s="401"/>
      <c r="CA65" s="401"/>
      <c r="CB65" s="401"/>
      <c r="CC65" s="401"/>
      <c r="CD65" s="401"/>
      <c r="CE65" s="401"/>
      <c r="CF65" s="401"/>
      <c r="CG65" s="401"/>
      <c r="CH65" s="401"/>
      <c r="CI65" s="401"/>
      <c r="CJ65" s="401"/>
      <c r="CK65" s="401"/>
      <c r="CL65" s="401"/>
      <c r="CM65" s="401"/>
      <c r="CN65" s="401"/>
      <c r="CO65" s="401"/>
      <c r="CP65" s="401"/>
      <c r="CQ65" s="401"/>
      <c r="CR65" s="401"/>
      <c r="CS65" s="401"/>
      <c r="CT65" s="401"/>
      <c r="CU65" s="401"/>
      <c r="CV65" s="401"/>
      <c r="CW65" s="401"/>
      <c r="CX65" s="401"/>
      <c r="CY65" s="401"/>
      <c r="CZ65" s="401"/>
      <c r="DA65" s="401"/>
      <c r="DB65" s="401"/>
      <c r="DC65" s="401"/>
      <c r="DD65" s="401"/>
      <c r="DE65" s="401"/>
      <c r="DF65" s="401"/>
      <c r="DG65" s="401"/>
      <c r="DH65" s="401"/>
      <c r="DI65" s="401"/>
      <c r="DJ65" s="401"/>
      <c r="DK65" s="401"/>
      <c r="DL65" s="401"/>
      <c r="DM65" s="401"/>
      <c r="DN65" s="401"/>
      <c r="DO65" s="401"/>
      <c r="DP65" s="401"/>
      <c r="DQ65" s="401"/>
      <c r="DR65" s="401"/>
      <c r="DS65" s="401"/>
      <c r="DT65" s="401"/>
    </row>
    <row r="66" spans="1:126" ht="14.25">
      <c r="A66" s="718" t="s">
        <v>71</v>
      </c>
      <c r="B66" s="718">
        <f>16/24*0.4</f>
        <v>0.26666666666666666</v>
      </c>
      <c r="C66" s="718" t="s">
        <v>74</v>
      </c>
      <c r="D66" s="718"/>
      <c r="E66" s="657"/>
      <c r="F66" s="401"/>
      <c r="G66" s="401"/>
      <c r="H66" s="401"/>
      <c r="I66" s="401"/>
      <c r="J66" s="401"/>
      <c r="K66" s="401"/>
      <c r="L66" s="401"/>
      <c r="M66" s="719"/>
      <c r="N66" s="720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401"/>
      <c r="AY66" s="401"/>
      <c r="AZ66" s="401"/>
      <c r="BA66" s="401"/>
      <c r="BB66" s="401"/>
      <c r="BC66" s="401"/>
      <c r="BD66" s="401"/>
      <c r="BE66" s="401"/>
      <c r="BF66" s="401"/>
      <c r="BG66" s="401"/>
      <c r="BH66" s="401"/>
      <c r="BI66" s="401"/>
      <c r="BJ66" s="401"/>
      <c r="BK66" s="401"/>
      <c r="BL66" s="401"/>
      <c r="BM66" s="401"/>
      <c r="BN66" s="401"/>
      <c r="BO66" s="401"/>
      <c r="BP66" s="401"/>
      <c r="BQ66" s="401"/>
      <c r="BR66" s="401"/>
      <c r="BS66" s="401"/>
      <c r="BT66" s="401"/>
      <c r="BU66" s="401"/>
      <c r="BV66" s="401"/>
      <c r="BW66" s="401"/>
      <c r="BX66" s="401"/>
      <c r="BY66" s="401"/>
      <c r="BZ66" s="401"/>
      <c r="CA66" s="401"/>
      <c r="CB66" s="401"/>
      <c r="CC66" s="401"/>
      <c r="CD66" s="401"/>
      <c r="CE66" s="401"/>
      <c r="CF66" s="401"/>
      <c r="CG66" s="401"/>
      <c r="CH66" s="401"/>
      <c r="CI66" s="401"/>
      <c r="CJ66" s="401"/>
      <c r="CK66" s="401"/>
      <c r="CL66" s="401"/>
      <c r="CM66" s="401"/>
      <c r="CN66" s="401"/>
      <c r="CO66" s="401"/>
      <c r="CP66" s="401"/>
      <c r="CQ66" s="401"/>
      <c r="CR66" s="401"/>
      <c r="CS66" s="401"/>
      <c r="CT66" s="401"/>
      <c r="CU66" s="401"/>
      <c r="CV66" s="401"/>
      <c r="CW66" s="401"/>
      <c r="CX66" s="401"/>
      <c r="CY66" s="401"/>
      <c r="CZ66" s="401"/>
      <c r="DA66" s="401"/>
      <c r="DB66" s="401"/>
      <c r="DC66" s="401"/>
      <c r="DD66" s="401"/>
      <c r="DE66" s="401"/>
      <c r="DF66" s="401"/>
      <c r="DG66" s="401"/>
      <c r="DH66" s="401"/>
      <c r="DI66" s="401"/>
      <c r="DJ66" s="401"/>
      <c r="DK66" s="401"/>
      <c r="DL66" s="401"/>
      <c r="DM66" s="401"/>
      <c r="DN66" s="401"/>
      <c r="DO66" s="401"/>
      <c r="DP66" s="401"/>
      <c r="DQ66" s="401"/>
      <c r="DR66" s="401"/>
      <c r="DS66" s="401"/>
      <c r="DT66" s="401"/>
    </row>
    <row r="67" spans="1:126" ht="14.25">
      <c r="A67" s="718" t="s">
        <v>73</v>
      </c>
      <c r="B67" s="721">
        <f>IF(ldl=0,fh_geo,MAX(fh_geo,ldl))</f>
        <v>0</v>
      </c>
      <c r="C67" s="718"/>
      <c r="D67" s="718"/>
      <c r="E67" s="401"/>
      <c r="G67" s="401"/>
      <c r="H67" s="401"/>
      <c r="I67" s="401"/>
      <c r="J67" s="401"/>
      <c r="K67" s="401"/>
      <c r="L67" s="401"/>
      <c r="M67" s="719"/>
      <c r="N67" s="720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  <c r="AH67" s="401"/>
      <c r="AI67" s="401"/>
      <c r="AJ67" s="401"/>
      <c r="AK67" s="401"/>
      <c r="AL67" s="401"/>
      <c r="AM67" s="401"/>
      <c r="AN67" s="401"/>
      <c r="AO67" s="401"/>
      <c r="AP67" s="401"/>
      <c r="AQ67" s="401"/>
      <c r="AR67" s="401"/>
      <c r="AS67" s="401"/>
      <c r="AT67" s="401"/>
      <c r="AU67" s="401"/>
      <c r="AV67" s="401"/>
      <c r="AW67" s="401"/>
      <c r="AX67" s="401"/>
      <c r="AY67" s="401"/>
      <c r="AZ67" s="401"/>
      <c r="BA67" s="401"/>
      <c r="BB67" s="401"/>
      <c r="BC67" s="401"/>
      <c r="BD67" s="401"/>
      <c r="BE67" s="401"/>
      <c r="BF67" s="401"/>
      <c r="BG67" s="401"/>
      <c r="BH67" s="401"/>
      <c r="BI67" s="401"/>
      <c r="BJ67" s="401"/>
      <c r="BK67" s="401"/>
      <c r="BL67" s="401"/>
      <c r="BM67" s="401"/>
      <c r="BN67" s="401"/>
      <c r="BO67" s="401"/>
      <c r="BP67" s="401"/>
      <c r="BQ67" s="401"/>
      <c r="BR67" s="401"/>
      <c r="BS67" s="401"/>
      <c r="BT67" s="401"/>
      <c r="BU67" s="401"/>
      <c r="BV67" s="401"/>
      <c r="BW67" s="401"/>
      <c r="BX67" s="401"/>
      <c r="BY67" s="401"/>
      <c r="BZ67" s="401"/>
      <c r="CA67" s="401"/>
      <c r="CB67" s="401"/>
      <c r="CC67" s="401"/>
      <c r="CD67" s="401"/>
      <c r="CE67" s="401"/>
      <c r="CF67" s="401"/>
      <c r="CG67" s="401"/>
      <c r="CH67" s="401"/>
      <c r="CI67" s="401"/>
      <c r="CJ67" s="401"/>
      <c r="CK67" s="401"/>
      <c r="CL67" s="401"/>
      <c r="CM67" s="401"/>
      <c r="CN67" s="401"/>
      <c r="CO67" s="401"/>
      <c r="CP67" s="401"/>
      <c r="CQ67" s="401"/>
      <c r="CR67" s="401"/>
      <c r="CS67" s="401"/>
      <c r="CT67" s="401"/>
      <c r="CU67" s="401"/>
      <c r="CV67" s="401"/>
      <c r="CW67" s="401"/>
      <c r="CX67" s="401"/>
      <c r="CY67" s="401"/>
      <c r="CZ67" s="401"/>
      <c r="DA67" s="401"/>
      <c r="DB67" s="401"/>
      <c r="DC67" s="401"/>
      <c r="DD67" s="401"/>
      <c r="DE67" s="401"/>
      <c r="DF67" s="401"/>
      <c r="DG67" s="401"/>
      <c r="DH67" s="401"/>
      <c r="DI67" s="401"/>
      <c r="DJ67" s="401"/>
      <c r="DK67" s="401"/>
      <c r="DL67" s="401"/>
      <c r="DM67" s="401"/>
      <c r="DN67" s="401"/>
      <c r="DO67" s="401"/>
      <c r="DP67" s="401"/>
      <c r="DQ67" s="401"/>
      <c r="DR67" s="401"/>
      <c r="DS67" s="401"/>
      <c r="DT67" s="401"/>
    </row>
    <row r="68" spans="1:126" ht="14.25">
      <c r="C68" s="718"/>
      <c r="D68" s="718"/>
      <c r="E68" s="401"/>
      <c r="F68" s="401"/>
      <c r="G68" s="401"/>
      <c r="H68" s="401"/>
      <c r="I68" s="401"/>
      <c r="J68" s="401"/>
      <c r="K68" s="401"/>
      <c r="L68" s="401"/>
      <c r="M68" s="719"/>
      <c r="N68" s="720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  <c r="AH68" s="401"/>
      <c r="AI68" s="401"/>
      <c r="AJ68" s="401"/>
      <c r="AK68" s="401"/>
      <c r="AL68" s="401"/>
      <c r="AM68" s="401"/>
      <c r="AN68" s="401"/>
      <c r="AO68" s="401"/>
      <c r="AP68" s="401"/>
      <c r="AQ68" s="401"/>
      <c r="AR68" s="401"/>
      <c r="AS68" s="401"/>
      <c r="AT68" s="401"/>
      <c r="AU68" s="401"/>
      <c r="AV68" s="401"/>
      <c r="AW68" s="401"/>
      <c r="AX68" s="401"/>
      <c r="AY68" s="401"/>
      <c r="AZ68" s="401"/>
      <c r="BA68" s="401"/>
      <c r="BB68" s="401"/>
      <c r="BC68" s="401"/>
      <c r="BD68" s="401"/>
      <c r="BE68" s="401"/>
      <c r="BF68" s="401"/>
      <c r="BG68" s="401"/>
      <c r="BH68" s="401"/>
      <c r="BI68" s="401"/>
      <c r="BJ68" s="401"/>
      <c r="BK68" s="401"/>
      <c r="BL68" s="401"/>
      <c r="BM68" s="401"/>
      <c r="BN68" s="401"/>
      <c r="BO68" s="401"/>
      <c r="BP68" s="401"/>
      <c r="BQ68" s="401"/>
      <c r="BR68" s="401"/>
      <c r="BS68" s="401"/>
      <c r="BT68" s="401"/>
      <c r="BU68" s="401"/>
      <c r="BV68" s="401"/>
      <c r="BW68" s="401"/>
      <c r="BX68" s="401"/>
      <c r="BY68" s="401"/>
      <c r="BZ68" s="401"/>
      <c r="CA68" s="401"/>
      <c r="CB68" s="401"/>
      <c r="CC68" s="401"/>
      <c r="CD68" s="401"/>
      <c r="CE68" s="401"/>
      <c r="CF68" s="401"/>
      <c r="CG68" s="401"/>
      <c r="CH68" s="401"/>
      <c r="CI68" s="401"/>
      <c r="CJ68" s="401"/>
      <c r="CK68" s="401"/>
      <c r="CL68" s="401"/>
      <c r="CM68" s="401"/>
      <c r="CN68" s="401"/>
      <c r="CO68" s="401"/>
      <c r="CP68" s="401"/>
      <c r="CQ68" s="401"/>
      <c r="CR68" s="401"/>
      <c r="CS68" s="401"/>
      <c r="CT68" s="401"/>
      <c r="CU68" s="401"/>
      <c r="CV68" s="401"/>
      <c r="CW68" s="401"/>
      <c r="CX68" s="401"/>
      <c r="CY68" s="401"/>
      <c r="CZ68" s="401"/>
      <c r="DA68" s="401"/>
      <c r="DB68" s="401"/>
      <c r="DC68" s="401"/>
      <c r="DD68" s="401"/>
      <c r="DE68" s="401"/>
      <c r="DF68" s="401"/>
      <c r="DG68" s="401"/>
      <c r="DH68" s="401"/>
      <c r="DI68" s="401"/>
      <c r="DJ68" s="401"/>
      <c r="DK68" s="401"/>
      <c r="DL68" s="401"/>
      <c r="DM68" s="401"/>
      <c r="DN68" s="401"/>
      <c r="DO68" s="401"/>
      <c r="DP68" s="401"/>
      <c r="DQ68" s="401"/>
      <c r="DR68" s="401"/>
      <c r="DS68" s="401"/>
      <c r="DT68" s="401"/>
    </row>
    <row r="69" spans="1:126" ht="14.25">
      <c r="A69" s="718" t="s">
        <v>59</v>
      </c>
      <c r="B69" s="718"/>
      <c r="C69" s="718"/>
      <c r="D69" s="722"/>
      <c r="E69" s="401"/>
      <c r="F69" s="401"/>
      <c r="G69" s="401"/>
      <c r="H69" s="401"/>
      <c r="I69" s="401"/>
      <c r="J69" s="401"/>
      <c r="K69" s="401"/>
      <c r="L69" s="401"/>
      <c r="M69" s="719"/>
      <c r="N69" s="720"/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  <c r="AA69" s="401"/>
      <c r="AB69" s="401"/>
      <c r="AC69" s="401"/>
      <c r="AD69" s="401"/>
      <c r="AE69" s="401"/>
      <c r="AF69" s="401"/>
      <c r="AG69" s="401"/>
      <c r="AH69" s="401"/>
      <c r="AI69" s="401"/>
      <c r="AJ69" s="401"/>
      <c r="AK69" s="401"/>
      <c r="AL69" s="401"/>
      <c r="AM69" s="401"/>
      <c r="AN69" s="401"/>
      <c r="AO69" s="401"/>
      <c r="AP69" s="401"/>
      <c r="AQ69" s="401"/>
      <c r="AR69" s="401"/>
      <c r="AS69" s="401"/>
      <c r="AT69" s="401"/>
      <c r="AU69" s="401"/>
      <c r="AV69" s="401"/>
      <c r="AW69" s="401"/>
      <c r="AX69" s="401"/>
      <c r="AY69" s="401"/>
      <c r="AZ69" s="401"/>
      <c r="BA69" s="401"/>
      <c r="BB69" s="401"/>
      <c r="BC69" s="401"/>
      <c r="BD69" s="401"/>
      <c r="BE69" s="401"/>
      <c r="BF69" s="401"/>
      <c r="BG69" s="401"/>
      <c r="BH69" s="401"/>
      <c r="BI69" s="401"/>
      <c r="BJ69" s="401"/>
      <c r="BK69" s="401"/>
      <c r="BL69" s="401"/>
      <c r="BM69" s="401"/>
      <c r="BN69" s="401"/>
      <c r="BO69" s="401"/>
      <c r="BP69" s="401"/>
      <c r="BQ69" s="401"/>
      <c r="BR69" s="401"/>
      <c r="BS69" s="401"/>
      <c r="BT69" s="401"/>
      <c r="BU69" s="401"/>
      <c r="BV69" s="401"/>
      <c r="BW69" s="401"/>
      <c r="BX69" s="401"/>
      <c r="BY69" s="401"/>
      <c r="BZ69" s="401"/>
      <c r="CA69" s="401"/>
      <c r="CB69" s="401"/>
      <c r="CC69" s="401"/>
      <c r="CD69" s="401"/>
      <c r="CE69" s="401"/>
      <c r="CF69" s="401"/>
      <c r="CG69" s="401"/>
      <c r="CH69" s="401"/>
      <c r="CI69" s="401"/>
      <c r="CJ69" s="401"/>
      <c r="CK69" s="401"/>
      <c r="CL69" s="401"/>
      <c r="CM69" s="401"/>
      <c r="CN69" s="401"/>
      <c r="CO69" s="401"/>
      <c r="CP69" s="401"/>
      <c r="CQ69" s="401"/>
      <c r="CR69" s="401"/>
      <c r="CS69" s="401"/>
      <c r="CT69" s="401"/>
      <c r="CU69" s="401"/>
      <c r="CV69" s="401"/>
      <c r="CW69" s="401"/>
      <c r="CX69" s="401"/>
      <c r="CY69" s="401"/>
      <c r="CZ69" s="401"/>
      <c r="DA69" s="401"/>
      <c r="DB69" s="401"/>
      <c r="DC69" s="401"/>
      <c r="DD69" s="401"/>
      <c r="DE69" s="401"/>
      <c r="DF69" s="401"/>
      <c r="DG69" s="401"/>
      <c r="DH69" s="401"/>
      <c r="DI69" s="401"/>
      <c r="DJ69" s="401"/>
      <c r="DK69" s="401"/>
      <c r="DL69" s="401"/>
      <c r="DM69" s="401"/>
      <c r="DN69" s="401"/>
      <c r="DO69" s="401"/>
      <c r="DP69" s="401"/>
      <c r="DQ69" s="401"/>
      <c r="DR69" s="401"/>
      <c r="DS69" s="401"/>
      <c r="DT69" s="401"/>
    </row>
    <row r="70" spans="1:126" ht="14.25">
      <c r="A70" s="718"/>
      <c r="B70" s="718"/>
      <c r="C70" s="718"/>
      <c r="D70" s="718"/>
      <c r="E70" s="401"/>
      <c r="F70" s="723"/>
      <c r="G70" s="401"/>
      <c r="H70" s="401"/>
      <c r="I70" s="401"/>
      <c r="J70" s="401"/>
      <c r="K70" s="401"/>
      <c r="L70" s="401"/>
      <c r="M70" s="719"/>
      <c r="N70" s="720"/>
      <c r="O70" s="401"/>
      <c r="P70" s="401"/>
      <c r="Q70" s="401"/>
      <c r="R70" s="724" t="s">
        <v>937</v>
      </c>
      <c r="S70" s="401"/>
      <c r="T70" s="401"/>
      <c r="U70" s="401"/>
      <c r="V70" s="400" t="s">
        <v>938</v>
      </c>
      <c r="W70" s="401"/>
      <c r="X70" s="401"/>
      <c r="Y70" s="401"/>
      <c r="Z70" s="401"/>
      <c r="AA70" s="401"/>
      <c r="AB70" s="401"/>
      <c r="AC70" s="401"/>
      <c r="AD70" s="401"/>
      <c r="AE70" s="401"/>
      <c r="AF70" s="401"/>
      <c r="AG70" s="401"/>
      <c r="AH70" s="401"/>
      <c r="AI70" s="401"/>
      <c r="AJ70" s="401"/>
      <c r="AK70" s="401"/>
      <c r="AL70" s="401"/>
      <c r="AM70" s="401"/>
      <c r="AN70" s="401"/>
      <c r="AO70" s="401"/>
      <c r="AP70" s="401"/>
      <c r="AQ70" s="401"/>
      <c r="AR70" s="401"/>
      <c r="AS70" s="401"/>
      <c r="AT70" s="401"/>
      <c r="AU70" s="401"/>
      <c r="AV70" s="401"/>
      <c r="AW70" s="401"/>
      <c r="AX70" s="401"/>
      <c r="AY70" s="401"/>
      <c r="AZ70" s="401"/>
      <c r="BA70" s="401"/>
      <c r="BB70" s="401"/>
      <c r="BC70" s="401"/>
      <c r="BD70" s="401"/>
      <c r="BE70" s="401"/>
      <c r="BF70" s="401"/>
      <c r="BG70" s="401"/>
      <c r="BH70" s="401"/>
      <c r="BI70" s="401"/>
      <c r="BJ70" s="401"/>
      <c r="BK70" s="401"/>
      <c r="BL70" s="401"/>
      <c r="BM70" s="401"/>
      <c r="BN70" s="401"/>
      <c r="BO70" s="401"/>
      <c r="BP70" s="401"/>
      <c r="BQ70" s="401"/>
      <c r="BR70" s="401"/>
      <c r="BS70" s="401"/>
      <c r="BT70" s="401"/>
      <c r="BU70" s="401"/>
      <c r="BV70" s="401"/>
      <c r="BW70" s="401"/>
      <c r="BX70" s="401"/>
      <c r="BY70" s="401"/>
      <c r="BZ70" s="401"/>
      <c r="CA70" s="401"/>
      <c r="CB70" s="401"/>
      <c r="CC70" s="401"/>
      <c r="CD70" s="401"/>
      <c r="CE70" s="401"/>
      <c r="CF70" s="401"/>
      <c r="CG70" s="401"/>
      <c r="CH70" s="401"/>
      <c r="CI70" s="401"/>
      <c r="CJ70" s="401"/>
      <c r="CK70" s="401"/>
      <c r="CL70" s="401"/>
      <c r="CM70" s="401"/>
      <c r="CN70" s="401"/>
      <c r="CO70" s="401"/>
      <c r="CP70" s="401"/>
      <c r="CQ70" s="401"/>
      <c r="CR70" s="401"/>
      <c r="CS70" s="401"/>
      <c r="CT70" s="401"/>
      <c r="CU70" s="401"/>
      <c r="CV70" s="401"/>
      <c r="CW70" s="401"/>
      <c r="CX70" s="401"/>
      <c r="CY70" s="401"/>
      <c r="CZ70" s="401"/>
      <c r="DA70" s="401"/>
      <c r="DB70" s="401"/>
      <c r="DC70" s="401"/>
      <c r="DD70" s="401"/>
      <c r="DE70" s="401"/>
      <c r="DF70" s="401"/>
      <c r="DG70" s="401"/>
      <c r="DH70" s="401"/>
      <c r="DI70" s="401"/>
      <c r="DJ70" s="401"/>
      <c r="DK70" s="401"/>
      <c r="DL70" s="401"/>
      <c r="DM70" s="401"/>
      <c r="DN70" s="401"/>
      <c r="DO70" s="401"/>
      <c r="DP70" s="401"/>
      <c r="DQ70" s="401"/>
      <c r="DR70" s="401"/>
      <c r="DS70" s="401"/>
      <c r="DT70" s="401"/>
    </row>
    <row r="71" spans="1:126" ht="14.25">
      <c r="B71" s="718" t="s">
        <v>60</v>
      </c>
      <c r="C71" s="725"/>
      <c r="D71" s="726"/>
      <c r="E71" s="718" t="s">
        <v>61</v>
      </c>
      <c r="F71" s="725"/>
      <c r="G71" s="726"/>
      <c r="H71" s="718" t="s">
        <v>100</v>
      </c>
      <c r="I71" s="725"/>
      <c r="J71" s="726"/>
      <c r="K71" s="718" t="s">
        <v>101</v>
      </c>
      <c r="L71" s="725"/>
      <c r="M71" s="726"/>
      <c r="N71" s="718" t="s">
        <v>104</v>
      </c>
      <c r="O71" s="725"/>
      <c r="P71" s="401"/>
      <c r="Q71" s="726"/>
      <c r="R71" s="718" t="s">
        <v>732</v>
      </c>
      <c r="S71" s="725"/>
      <c r="T71" s="401"/>
      <c r="U71" s="726"/>
      <c r="V71" s="718" t="s">
        <v>734</v>
      </c>
      <c r="W71" s="725"/>
      <c r="X71" s="401"/>
      <c r="Y71" s="401"/>
      <c r="Z71" s="401"/>
      <c r="AA71" s="401"/>
      <c r="AB71" s="401"/>
      <c r="AC71" s="401"/>
      <c r="AD71" s="401"/>
      <c r="AE71" s="401"/>
      <c r="AF71" s="401"/>
      <c r="AG71" s="401"/>
      <c r="AH71" s="401"/>
      <c r="AI71" s="401"/>
      <c r="AJ71" s="401"/>
      <c r="AK71" s="401"/>
      <c r="AL71" s="401"/>
      <c r="AM71" s="401"/>
      <c r="AN71" s="401"/>
      <c r="AO71" s="401"/>
      <c r="AP71" s="401"/>
      <c r="AQ71" s="401"/>
      <c r="AR71" s="401"/>
      <c r="AS71" s="401"/>
      <c r="AT71" s="401"/>
      <c r="AU71" s="401"/>
      <c r="AV71" s="401"/>
      <c r="AW71" s="401"/>
      <c r="AX71" s="401"/>
      <c r="AY71" s="401"/>
      <c r="AZ71" s="401"/>
      <c r="BA71" s="401"/>
      <c r="BB71" s="401"/>
      <c r="BC71" s="401"/>
      <c r="BD71" s="401"/>
      <c r="BE71" s="401"/>
      <c r="BF71" s="401"/>
      <c r="BG71" s="401"/>
      <c r="BH71" s="401"/>
      <c r="BI71" s="401"/>
      <c r="BJ71" s="401"/>
      <c r="BK71" s="401"/>
      <c r="BL71" s="401"/>
      <c r="BM71" s="401"/>
      <c r="BN71" s="401"/>
      <c r="BO71" s="401"/>
      <c r="BP71" s="401"/>
      <c r="BQ71" s="401"/>
      <c r="BR71" s="401"/>
      <c r="BS71" s="401"/>
      <c r="BT71" s="401"/>
      <c r="BU71" s="401"/>
      <c r="BV71" s="401"/>
      <c r="BW71" s="401"/>
      <c r="BX71" s="401"/>
      <c r="BY71" s="401"/>
      <c r="BZ71" s="401"/>
      <c r="CA71" s="401"/>
      <c r="CB71" s="401"/>
      <c r="CC71" s="401"/>
      <c r="CD71" s="401"/>
      <c r="CE71" s="401"/>
      <c r="CF71" s="401"/>
      <c r="CG71" s="401"/>
      <c r="CH71" s="401"/>
      <c r="CI71" s="401"/>
      <c r="CJ71" s="401"/>
      <c r="CK71" s="401"/>
      <c r="CL71" s="401"/>
      <c r="CM71" s="401"/>
      <c r="CN71" s="401"/>
      <c r="CO71" s="401"/>
      <c r="CP71" s="401"/>
      <c r="CQ71" s="401"/>
      <c r="CR71" s="401"/>
      <c r="CS71" s="401"/>
      <c r="CT71" s="401"/>
      <c r="CU71" s="401"/>
      <c r="CV71" s="401"/>
      <c r="CW71" s="401"/>
      <c r="CX71" s="401"/>
      <c r="CY71" s="401"/>
      <c r="CZ71" s="401"/>
      <c r="DA71" s="401"/>
      <c r="DB71" s="401"/>
      <c r="DC71" s="401"/>
      <c r="DD71" s="401"/>
      <c r="DE71" s="401"/>
      <c r="DF71" s="401"/>
      <c r="DG71" s="401"/>
      <c r="DH71" s="401"/>
      <c r="DI71" s="401"/>
      <c r="DJ71" s="401"/>
      <c r="DK71" s="401"/>
      <c r="DL71" s="401"/>
      <c r="DM71" s="401"/>
      <c r="DN71" s="401"/>
      <c r="DO71" s="401"/>
      <c r="DP71" s="401"/>
      <c r="DQ71" s="401"/>
      <c r="DR71" s="401"/>
      <c r="DS71" s="401"/>
      <c r="DT71" s="401"/>
      <c r="DU71" s="401"/>
      <c r="DV71" s="401"/>
    </row>
    <row r="72" spans="1:126" ht="12.75">
      <c r="B72" s="719" t="s">
        <v>51</v>
      </c>
      <c r="C72" s="727"/>
      <c r="D72" s="728"/>
      <c r="E72" s="719" t="s">
        <v>51</v>
      </c>
      <c r="F72" s="727"/>
      <c r="G72" s="728"/>
      <c r="H72" s="719" t="s">
        <v>51</v>
      </c>
      <c r="I72" s="727"/>
      <c r="J72" s="728"/>
      <c r="K72" s="719" t="s">
        <v>51</v>
      </c>
      <c r="L72" s="727"/>
      <c r="M72" s="728"/>
      <c r="N72" s="719" t="s">
        <v>51</v>
      </c>
      <c r="O72" s="727"/>
      <c r="P72" s="401"/>
      <c r="Q72" s="728"/>
      <c r="R72" s="719" t="s">
        <v>51</v>
      </c>
      <c r="S72" s="727"/>
      <c r="T72" s="719"/>
      <c r="U72" s="728"/>
      <c r="V72" s="719" t="s">
        <v>51</v>
      </c>
      <c r="W72" s="727"/>
      <c r="X72" s="401"/>
      <c r="Y72" s="401"/>
      <c r="Z72" s="401"/>
      <c r="AA72" s="401"/>
      <c r="AB72" s="401"/>
      <c r="AC72" s="401"/>
      <c r="AD72" s="401"/>
      <c r="AE72" s="401"/>
      <c r="AF72" s="401"/>
      <c r="AG72" s="401"/>
      <c r="AH72" s="401"/>
      <c r="AI72" s="401"/>
      <c r="AJ72" s="401"/>
      <c r="AK72" s="401"/>
      <c r="AL72" s="401"/>
      <c r="AM72" s="401"/>
      <c r="AN72" s="401"/>
      <c r="AO72" s="401"/>
      <c r="AP72" s="401"/>
      <c r="AQ72" s="401"/>
      <c r="AR72" s="401"/>
      <c r="AS72" s="401"/>
      <c r="AT72" s="401"/>
      <c r="AU72" s="401"/>
      <c r="AV72" s="401"/>
      <c r="AW72" s="401"/>
      <c r="AX72" s="401"/>
      <c r="AY72" s="401"/>
      <c r="AZ72" s="401"/>
      <c r="BA72" s="401"/>
      <c r="BB72" s="401"/>
      <c r="BC72" s="401"/>
      <c r="BD72" s="401"/>
      <c r="BE72" s="401"/>
      <c r="BF72" s="401"/>
      <c r="BG72" s="401"/>
      <c r="BH72" s="401"/>
      <c r="BI72" s="401"/>
      <c r="BJ72" s="401"/>
      <c r="BK72" s="401"/>
      <c r="BL72" s="401"/>
      <c r="BM72" s="401"/>
      <c r="BN72" s="401"/>
      <c r="BO72" s="401"/>
      <c r="BP72" s="401"/>
      <c r="BQ72" s="401"/>
      <c r="BR72" s="401"/>
      <c r="BS72" s="401"/>
      <c r="BT72" s="401"/>
      <c r="BU72" s="401"/>
      <c r="BV72" s="401"/>
      <c r="BW72" s="401"/>
      <c r="BX72" s="401"/>
      <c r="BY72" s="401"/>
      <c r="BZ72" s="401"/>
      <c r="CA72" s="401"/>
      <c r="CB72" s="401"/>
      <c r="CC72" s="401"/>
      <c r="CD72" s="401"/>
      <c r="CE72" s="401"/>
      <c r="CF72" s="401"/>
      <c r="CG72" s="401"/>
      <c r="CH72" s="401"/>
      <c r="CI72" s="401"/>
      <c r="CJ72" s="401"/>
      <c r="CK72" s="401"/>
      <c r="CL72" s="401"/>
      <c r="CM72" s="401"/>
      <c r="CN72" s="401"/>
      <c r="CO72" s="401"/>
      <c r="CP72" s="401"/>
      <c r="CQ72" s="401"/>
      <c r="CR72" s="401"/>
      <c r="CS72" s="401"/>
      <c r="CT72" s="401"/>
      <c r="CU72" s="401"/>
      <c r="CV72" s="401"/>
      <c r="CW72" s="401"/>
      <c r="CX72" s="401"/>
      <c r="CY72" s="401"/>
      <c r="CZ72" s="401"/>
      <c r="DA72" s="401"/>
      <c r="DB72" s="401"/>
      <c r="DC72" s="401"/>
      <c r="DD72" s="401"/>
      <c r="DE72" s="401"/>
      <c r="DF72" s="401"/>
      <c r="DG72" s="401"/>
      <c r="DH72" s="401"/>
      <c r="DI72" s="401"/>
      <c r="DJ72" s="401"/>
      <c r="DK72" s="401"/>
      <c r="DL72" s="401"/>
      <c r="DM72" s="401"/>
      <c r="DN72" s="401"/>
      <c r="DO72" s="401"/>
      <c r="DP72" s="401"/>
      <c r="DQ72" s="401"/>
      <c r="DR72" s="401"/>
      <c r="DS72" s="401"/>
      <c r="DT72" s="401"/>
      <c r="DU72" s="401"/>
      <c r="DV72" s="401"/>
    </row>
    <row r="73" spans="1:126" ht="12.75">
      <c r="B73" s="719" t="s">
        <v>52</v>
      </c>
      <c r="C73" s="727"/>
      <c r="D73" s="728"/>
      <c r="E73" s="719" t="s">
        <v>201</v>
      </c>
      <c r="F73" s="727"/>
      <c r="G73" s="728"/>
      <c r="H73" s="719" t="s">
        <v>202</v>
      </c>
      <c r="I73" s="727"/>
      <c r="J73" s="728"/>
      <c r="K73" s="719" t="s">
        <v>203</v>
      </c>
      <c r="L73" s="727"/>
      <c r="M73" s="728"/>
      <c r="N73" s="719" t="s">
        <v>204</v>
      </c>
      <c r="O73" s="727"/>
      <c r="P73" s="401"/>
      <c r="Q73" s="728"/>
      <c r="R73" s="719" t="s">
        <v>733</v>
      </c>
      <c r="S73" s="727"/>
      <c r="T73" s="719"/>
      <c r="U73" s="728"/>
      <c r="V73" s="719" t="s">
        <v>733</v>
      </c>
      <c r="W73" s="727"/>
      <c r="X73" s="401"/>
      <c r="Y73" s="401"/>
      <c r="Z73" s="401"/>
      <c r="AA73" s="401"/>
      <c r="AB73" s="401"/>
      <c r="AC73" s="401"/>
      <c r="AD73" s="401"/>
      <c r="AE73" s="401"/>
      <c r="AF73" s="401"/>
      <c r="AG73" s="401"/>
      <c r="AH73" s="401"/>
      <c r="AI73" s="401"/>
      <c r="AJ73" s="401"/>
      <c r="AK73" s="401"/>
      <c r="AL73" s="401"/>
      <c r="AM73" s="401"/>
      <c r="AN73" s="401"/>
      <c r="AO73" s="401"/>
      <c r="AP73" s="401"/>
      <c r="AQ73" s="401"/>
      <c r="AR73" s="401"/>
      <c r="AS73" s="401"/>
      <c r="AT73" s="401"/>
      <c r="AU73" s="401"/>
      <c r="AV73" s="401"/>
      <c r="AW73" s="401"/>
      <c r="AX73" s="401"/>
      <c r="AY73" s="401"/>
      <c r="AZ73" s="401"/>
      <c r="BA73" s="401"/>
      <c r="BB73" s="401"/>
      <c r="BC73" s="401"/>
      <c r="BD73" s="401"/>
      <c r="BE73" s="401"/>
      <c r="BF73" s="401"/>
      <c r="BG73" s="401"/>
      <c r="BH73" s="401"/>
      <c r="BI73" s="401"/>
      <c r="BJ73" s="401"/>
      <c r="BK73" s="401"/>
      <c r="BL73" s="401"/>
      <c r="BM73" s="401"/>
      <c r="BN73" s="401"/>
      <c r="BO73" s="401"/>
      <c r="BP73" s="401"/>
      <c r="BQ73" s="401"/>
      <c r="BR73" s="401"/>
      <c r="BS73" s="401"/>
      <c r="BT73" s="401"/>
      <c r="BU73" s="401"/>
      <c r="BV73" s="401"/>
      <c r="BW73" s="401"/>
      <c r="BX73" s="401"/>
      <c r="BY73" s="401"/>
      <c r="BZ73" s="401"/>
      <c r="CA73" s="401"/>
      <c r="CB73" s="401"/>
      <c r="CC73" s="401"/>
      <c r="CD73" s="401"/>
      <c r="CE73" s="401"/>
      <c r="CF73" s="401"/>
      <c r="CG73" s="401"/>
      <c r="CH73" s="401"/>
      <c r="CI73" s="401"/>
      <c r="CJ73" s="401"/>
      <c r="CK73" s="401"/>
      <c r="CL73" s="401"/>
      <c r="CM73" s="401"/>
      <c r="CN73" s="401"/>
      <c r="CO73" s="401"/>
      <c r="CP73" s="401"/>
      <c r="CQ73" s="401"/>
      <c r="CR73" s="401"/>
      <c r="CS73" s="401"/>
      <c r="CT73" s="401"/>
      <c r="CU73" s="401"/>
      <c r="CV73" s="401"/>
      <c r="CW73" s="401"/>
      <c r="CX73" s="401"/>
      <c r="CY73" s="401"/>
      <c r="CZ73" s="401"/>
      <c r="DA73" s="401"/>
      <c r="DB73" s="401"/>
      <c r="DC73" s="401"/>
      <c r="DD73" s="401"/>
      <c r="DE73" s="401"/>
      <c r="DF73" s="401"/>
      <c r="DG73" s="401"/>
      <c r="DH73" s="401"/>
      <c r="DI73" s="401"/>
      <c r="DJ73" s="401"/>
      <c r="DK73" s="401"/>
      <c r="DL73" s="401"/>
      <c r="DM73" s="401"/>
      <c r="DN73" s="401"/>
      <c r="DO73" s="401"/>
      <c r="DP73" s="401"/>
      <c r="DQ73" s="401"/>
      <c r="DR73" s="401"/>
      <c r="DS73" s="401"/>
      <c r="DT73" s="401"/>
      <c r="DU73" s="401"/>
      <c r="DV73" s="401"/>
    </row>
    <row r="74" spans="1:126" ht="12.75">
      <c r="B74" s="719"/>
      <c r="C74" s="727"/>
      <c r="D74" s="728"/>
      <c r="E74" s="719"/>
      <c r="F74" s="727"/>
      <c r="G74" s="728"/>
      <c r="H74" s="719"/>
      <c r="I74" s="727"/>
      <c r="J74" s="728"/>
      <c r="K74" s="719"/>
      <c r="L74" s="727"/>
      <c r="M74" s="728"/>
      <c r="N74" s="719"/>
      <c r="O74" s="727"/>
      <c r="P74" s="401"/>
      <c r="Q74" s="728"/>
      <c r="R74" s="719"/>
      <c r="S74" s="727"/>
      <c r="T74" s="719"/>
      <c r="U74" s="728"/>
      <c r="V74" s="719"/>
      <c r="W74" s="727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401"/>
      <c r="AO74" s="401"/>
      <c r="AP74" s="401"/>
      <c r="AQ74" s="401"/>
      <c r="AR74" s="401"/>
      <c r="AS74" s="401"/>
      <c r="AT74" s="401"/>
      <c r="AU74" s="401"/>
      <c r="AV74" s="401"/>
      <c r="AW74" s="401"/>
      <c r="AX74" s="401"/>
      <c r="AY74" s="401"/>
      <c r="AZ74" s="401"/>
      <c r="BA74" s="401"/>
      <c r="BB74" s="401"/>
      <c r="BC74" s="401"/>
      <c r="BD74" s="401"/>
      <c r="BE74" s="401"/>
      <c r="BF74" s="401"/>
      <c r="BG74" s="401"/>
      <c r="BH74" s="401"/>
      <c r="BI74" s="401"/>
      <c r="BJ74" s="401"/>
      <c r="BK74" s="401"/>
      <c r="BL74" s="401"/>
      <c r="BM74" s="401"/>
      <c r="BN74" s="401"/>
      <c r="BO74" s="401"/>
      <c r="BP74" s="401"/>
      <c r="BQ74" s="401"/>
      <c r="BR74" s="401"/>
      <c r="BS74" s="401"/>
      <c r="BT74" s="401"/>
      <c r="BU74" s="401"/>
      <c r="BV74" s="401"/>
      <c r="BW74" s="401"/>
      <c r="BX74" s="401"/>
      <c r="BY74" s="401"/>
      <c r="BZ74" s="401"/>
      <c r="CA74" s="401"/>
      <c r="CB74" s="401"/>
      <c r="CC74" s="401"/>
      <c r="CD74" s="401"/>
      <c r="CE74" s="401"/>
      <c r="CF74" s="401"/>
      <c r="CG74" s="401"/>
      <c r="CH74" s="401"/>
      <c r="CI74" s="401"/>
      <c r="CJ74" s="401"/>
      <c r="CK74" s="401"/>
      <c r="CL74" s="401"/>
      <c r="CM74" s="401"/>
      <c r="CN74" s="401"/>
      <c r="CO74" s="401"/>
      <c r="CP74" s="401"/>
      <c r="CQ74" s="401"/>
      <c r="CR74" s="401"/>
      <c r="CS74" s="401"/>
      <c r="CT74" s="401"/>
      <c r="CU74" s="401"/>
      <c r="CV74" s="401"/>
      <c r="CW74" s="401"/>
      <c r="CX74" s="401"/>
      <c r="CY74" s="401"/>
      <c r="CZ74" s="401"/>
      <c r="DA74" s="401"/>
      <c r="DB74" s="401"/>
      <c r="DC74" s="401"/>
      <c r="DD74" s="401"/>
      <c r="DE74" s="401"/>
      <c r="DF74" s="401"/>
      <c r="DG74" s="401"/>
      <c r="DH74" s="401"/>
      <c r="DI74" s="401"/>
      <c r="DJ74" s="401"/>
      <c r="DK74" s="401"/>
      <c r="DL74" s="401"/>
      <c r="DM74" s="401"/>
      <c r="DN74" s="401"/>
      <c r="DO74" s="401"/>
      <c r="DP74" s="401"/>
      <c r="DQ74" s="401"/>
      <c r="DR74" s="401"/>
      <c r="DS74" s="401"/>
      <c r="DT74" s="401"/>
      <c r="DU74" s="401"/>
      <c r="DV74" s="401"/>
    </row>
    <row r="75" spans="1:126" ht="12.75">
      <c r="B75" s="729" t="s">
        <v>53</v>
      </c>
      <c r="C75" s="729" t="s">
        <v>54</v>
      </c>
      <c r="D75" s="730"/>
      <c r="E75" s="731" t="s">
        <v>53</v>
      </c>
      <c r="F75" s="729" t="s">
        <v>54</v>
      </c>
      <c r="G75" s="730"/>
      <c r="H75" s="731" t="s">
        <v>53</v>
      </c>
      <c r="I75" s="732" t="s">
        <v>54</v>
      </c>
      <c r="J75" s="730"/>
      <c r="K75" s="731" t="s">
        <v>53</v>
      </c>
      <c r="L75" s="732" t="s">
        <v>54</v>
      </c>
      <c r="M75" s="730"/>
      <c r="N75" s="731" t="s">
        <v>53</v>
      </c>
      <c r="O75" s="732" t="s">
        <v>54</v>
      </c>
      <c r="P75" s="401"/>
      <c r="Q75" s="730"/>
      <c r="R75" s="731" t="s">
        <v>53</v>
      </c>
      <c r="S75" s="732" t="s">
        <v>54</v>
      </c>
      <c r="T75" s="713"/>
      <c r="U75" s="730"/>
      <c r="V75" s="731" t="s">
        <v>53</v>
      </c>
      <c r="W75" s="732" t="s">
        <v>54</v>
      </c>
      <c r="X75" s="401"/>
      <c r="Y75" s="401"/>
      <c r="Z75" s="401"/>
      <c r="AA75" s="401"/>
      <c r="AB75" s="401"/>
      <c r="AC75" s="401"/>
      <c r="AD75" s="401"/>
      <c r="AE75" s="401"/>
      <c r="AF75" s="401"/>
      <c r="AG75" s="401"/>
      <c r="AH75" s="401"/>
      <c r="AI75" s="401"/>
      <c r="AJ75" s="401"/>
      <c r="AK75" s="401"/>
      <c r="AL75" s="401"/>
      <c r="AM75" s="401"/>
      <c r="AN75" s="401"/>
      <c r="AO75" s="401"/>
      <c r="AP75" s="401"/>
      <c r="AQ75" s="401"/>
      <c r="AR75" s="401"/>
      <c r="AS75" s="401"/>
      <c r="AT75" s="401"/>
      <c r="AU75" s="401"/>
      <c r="AV75" s="401"/>
      <c r="AW75" s="401"/>
      <c r="AX75" s="401"/>
      <c r="AY75" s="401"/>
      <c r="AZ75" s="401"/>
      <c r="BA75" s="401"/>
      <c r="BB75" s="401"/>
      <c r="BC75" s="401"/>
      <c r="BD75" s="401"/>
      <c r="BE75" s="401"/>
      <c r="BF75" s="401"/>
      <c r="BG75" s="401"/>
      <c r="BH75" s="401"/>
      <c r="BI75" s="401"/>
      <c r="BJ75" s="401"/>
      <c r="BK75" s="401"/>
      <c r="BL75" s="401"/>
      <c r="BM75" s="401"/>
      <c r="BN75" s="401"/>
      <c r="BO75" s="401"/>
      <c r="BP75" s="401"/>
      <c r="BQ75" s="401"/>
      <c r="BR75" s="401"/>
      <c r="BS75" s="401"/>
      <c r="BT75" s="401"/>
      <c r="BU75" s="401"/>
      <c r="BV75" s="401"/>
      <c r="BW75" s="401"/>
      <c r="BX75" s="401"/>
      <c r="BY75" s="401"/>
      <c r="BZ75" s="401"/>
      <c r="CA75" s="401"/>
      <c r="CB75" s="401"/>
      <c r="CC75" s="401"/>
      <c r="CD75" s="401"/>
      <c r="CE75" s="401"/>
      <c r="CF75" s="401"/>
      <c r="CG75" s="401"/>
      <c r="CH75" s="401"/>
      <c r="CI75" s="401"/>
      <c r="CJ75" s="401"/>
      <c r="CK75" s="401"/>
      <c r="CL75" s="401"/>
      <c r="CM75" s="401"/>
      <c r="CN75" s="401"/>
      <c r="CO75" s="401"/>
      <c r="CP75" s="401"/>
      <c r="CQ75" s="401"/>
      <c r="CR75" s="401"/>
      <c r="CS75" s="401"/>
      <c r="CT75" s="401"/>
      <c r="CU75" s="401"/>
      <c r="CV75" s="401"/>
      <c r="CW75" s="401"/>
      <c r="CX75" s="401"/>
      <c r="CY75" s="401"/>
      <c r="CZ75" s="401"/>
      <c r="DA75" s="401"/>
      <c r="DB75" s="401"/>
      <c r="DC75" s="401"/>
      <c r="DD75" s="401"/>
      <c r="DE75" s="401"/>
      <c r="DF75" s="401"/>
      <c r="DG75" s="401"/>
      <c r="DH75" s="401"/>
      <c r="DI75" s="401"/>
      <c r="DJ75" s="401"/>
      <c r="DK75" s="401"/>
      <c r="DL75" s="401"/>
      <c r="DM75" s="401"/>
      <c r="DN75" s="401"/>
      <c r="DO75" s="401"/>
      <c r="DP75" s="401"/>
      <c r="DQ75" s="401"/>
      <c r="DR75" s="401"/>
      <c r="DS75" s="401"/>
      <c r="DT75" s="401"/>
      <c r="DU75" s="401"/>
      <c r="DV75" s="401"/>
    </row>
    <row r="76" spans="1:126" ht="15" thickBot="1">
      <c r="B76" s="733" t="s">
        <v>939</v>
      </c>
      <c r="C76" s="733" t="s">
        <v>55</v>
      </c>
      <c r="D76" s="730"/>
      <c r="E76" s="734" t="s">
        <v>939</v>
      </c>
      <c r="F76" s="733" t="s">
        <v>55</v>
      </c>
      <c r="G76" s="730"/>
      <c r="H76" s="734" t="s">
        <v>939</v>
      </c>
      <c r="I76" s="735" t="s">
        <v>55</v>
      </c>
      <c r="J76" s="730"/>
      <c r="K76" s="734" t="s">
        <v>939</v>
      </c>
      <c r="L76" s="735" t="s">
        <v>55</v>
      </c>
      <c r="M76" s="730"/>
      <c r="N76" s="734" t="s">
        <v>939</v>
      </c>
      <c r="O76" s="735" t="s">
        <v>55</v>
      </c>
      <c r="P76" s="401"/>
      <c r="Q76" s="730"/>
      <c r="R76" s="734" t="s">
        <v>939</v>
      </c>
      <c r="S76" s="735" t="s">
        <v>55</v>
      </c>
      <c r="T76" s="717"/>
      <c r="U76" s="730"/>
      <c r="V76" s="734" t="s">
        <v>939</v>
      </c>
      <c r="W76" s="735" t="s">
        <v>55</v>
      </c>
      <c r="X76" s="401"/>
      <c r="Y76" s="401"/>
      <c r="Z76" s="401"/>
      <c r="AA76" s="401"/>
      <c r="AB76" s="401"/>
      <c r="AC76" s="401"/>
      <c r="AD76" s="401"/>
      <c r="AE76" s="401"/>
      <c r="AF76" s="401"/>
      <c r="AG76" s="401"/>
      <c r="AH76" s="401"/>
      <c r="AI76" s="401"/>
      <c r="AJ76" s="401"/>
      <c r="AK76" s="401"/>
      <c r="AL76" s="401"/>
      <c r="AM76" s="401"/>
      <c r="AN76" s="401"/>
      <c r="AO76" s="401"/>
      <c r="AP76" s="401"/>
      <c r="AQ76" s="401"/>
      <c r="AR76" s="401"/>
      <c r="AS76" s="401"/>
      <c r="AT76" s="401"/>
      <c r="AU76" s="401"/>
      <c r="AV76" s="401"/>
      <c r="AW76" s="401"/>
      <c r="AX76" s="401"/>
      <c r="AY76" s="401"/>
      <c r="AZ76" s="401"/>
      <c r="BA76" s="401"/>
      <c r="BB76" s="401"/>
      <c r="BC76" s="401"/>
      <c r="BD76" s="401"/>
      <c r="BE76" s="401"/>
      <c r="BF76" s="401"/>
      <c r="BG76" s="401"/>
      <c r="BH76" s="401"/>
      <c r="BI76" s="401"/>
      <c r="BJ76" s="401"/>
      <c r="BK76" s="401"/>
      <c r="BL76" s="401"/>
      <c r="BM76" s="401"/>
      <c r="BN76" s="401"/>
      <c r="BO76" s="401"/>
      <c r="BP76" s="401"/>
      <c r="BQ76" s="401"/>
      <c r="BR76" s="401"/>
      <c r="BS76" s="401"/>
      <c r="BT76" s="401"/>
      <c r="BU76" s="401"/>
      <c r="BV76" s="401"/>
      <c r="BW76" s="401"/>
      <c r="BX76" s="401"/>
      <c r="BY76" s="401"/>
      <c r="BZ76" s="401"/>
      <c r="CA76" s="401"/>
      <c r="CB76" s="401"/>
      <c r="CC76" s="401"/>
      <c r="CD76" s="401"/>
      <c r="CE76" s="401"/>
      <c r="CF76" s="401"/>
      <c r="CG76" s="401"/>
      <c r="CH76" s="401"/>
      <c r="CI76" s="401"/>
      <c r="CJ76" s="401"/>
      <c r="CK76" s="401"/>
      <c r="CL76" s="401"/>
      <c r="CM76" s="401"/>
      <c r="CN76" s="401"/>
      <c r="CO76" s="401"/>
      <c r="CP76" s="401"/>
      <c r="CQ76" s="401"/>
      <c r="CR76" s="401"/>
      <c r="CS76" s="401"/>
      <c r="CT76" s="401"/>
      <c r="CU76" s="401"/>
      <c r="CV76" s="401"/>
      <c r="CW76" s="401"/>
      <c r="CX76" s="401"/>
      <c r="CY76" s="401"/>
      <c r="CZ76" s="401"/>
      <c r="DA76" s="401"/>
      <c r="DB76" s="401"/>
      <c r="DC76" s="401"/>
      <c r="DD76" s="401"/>
      <c r="DE76" s="401"/>
      <c r="DF76" s="401"/>
      <c r="DG76" s="401"/>
      <c r="DH76" s="401"/>
      <c r="DI76" s="401"/>
      <c r="DJ76" s="401"/>
      <c r="DK76" s="401"/>
      <c r="DL76" s="401"/>
      <c r="DM76" s="401"/>
      <c r="DN76" s="401"/>
      <c r="DO76" s="401"/>
      <c r="DP76" s="401"/>
      <c r="DQ76" s="401"/>
      <c r="DR76" s="401"/>
      <c r="DS76" s="401"/>
      <c r="DT76" s="401"/>
      <c r="DU76" s="401"/>
      <c r="DV76" s="401"/>
    </row>
    <row r="77" spans="1:126" ht="12.75">
      <c r="A77" s="736">
        <v>1</v>
      </c>
      <c r="B77" s="737">
        <v>1.7999999999999999E-2</v>
      </c>
      <c r="C77" s="738">
        <f>-0.00546417*B77^2 - 0.28403585*B77 + 11.92514327</f>
        <v>11.920028854308919</v>
      </c>
      <c r="D77" s="739">
        <v>1</v>
      </c>
      <c r="E77" s="740">
        <v>1.2999999999999999E-2</v>
      </c>
      <c r="F77" s="737">
        <f xml:space="preserve"> -0.00212898*E77^2 - 0.29829257*E77 + 15.28853066</f>
        <v>15.284652496792379</v>
      </c>
      <c r="G77" s="739">
        <v>1</v>
      </c>
      <c r="H77" s="740">
        <v>0</v>
      </c>
      <c r="I77" s="741">
        <f>-0.1816*H77 + 13.665</f>
        <v>13.664999999999999</v>
      </c>
      <c r="J77" s="739">
        <v>1</v>
      </c>
      <c r="K77" s="740">
        <v>0</v>
      </c>
      <c r="L77" s="741">
        <f>-0.2137*K77 + 17.443</f>
        <v>17.443000000000001</v>
      </c>
      <c r="M77" s="739">
        <v>1</v>
      </c>
      <c r="N77" s="740">
        <v>0</v>
      </c>
      <c r="O77" s="741">
        <f xml:space="preserve"> -0.0016*N77^2 - 0.1437*N77 + 23.04</f>
        <v>23.04</v>
      </c>
      <c r="P77" s="401"/>
      <c r="Q77" s="739">
        <v>1</v>
      </c>
      <c r="R77" s="740">
        <v>0</v>
      </c>
      <c r="S77" s="741">
        <v>17.95</v>
      </c>
      <c r="T77" s="720"/>
      <c r="U77" s="739">
        <v>1</v>
      </c>
      <c r="V77" s="740">
        <v>0</v>
      </c>
      <c r="W77" s="741">
        <v>25.1</v>
      </c>
      <c r="X77" s="401"/>
      <c r="Y77" s="401"/>
      <c r="Z77" s="401"/>
      <c r="AA77" s="401"/>
      <c r="AB77" s="401"/>
      <c r="AC77" s="401"/>
      <c r="AD77" s="401"/>
      <c r="AE77" s="401"/>
      <c r="AF77" s="401"/>
      <c r="AG77" s="401"/>
      <c r="AH77" s="401"/>
      <c r="AI77" s="401"/>
      <c r="AJ77" s="401"/>
      <c r="AK77" s="401"/>
      <c r="AL77" s="401"/>
      <c r="AM77" s="401"/>
      <c r="AN77" s="401"/>
      <c r="AO77" s="401"/>
      <c r="AP77" s="401"/>
      <c r="AQ77" s="401"/>
      <c r="AR77" s="401"/>
      <c r="AS77" s="401"/>
      <c r="AT77" s="401"/>
      <c r="AU77" s="401"/>
      <c r="AV77" s="401"/>
      <c r="AW77" s="401"/>
      <c r="AX77" s="401"/>
      <c r="AY77" s="401"/>
      <c r="AZ77" s="401"/>
      <c r="BA77" s="401"/>
      <c r="BB77" s="401"/>
      <c r="BC77" s="401"/>
      <c r="BD77" s="401"/>
      <c r="BE77" s="401"/>
      <c r="BF77" s="401"/>
      <c r="BG77" s="401"/>
      <c r="BH77" s="401"/>
      <c r="BI77" s="401"/>
      <c r="BJ77" s="401"/>
      <c r="BK77" s="401"/>
      <c r="BL77" s="401"/>
      <c r="BM77" s="401"/>
      <c r="BN77" s="401"/>
      <c r="BO77" s="401"/>
      <c r="BP77" s="401"/>
      <c r="BQ77" s="401"/>
      <c r="BR77" s="401"/>
      <c r="BS77" s="401"/>
      <c r="BT77" s="401"/>
      <c r="BU77" s="401"/>
      <c r="BV77" s="401"/>
      <c r="BW77" s="401"/>
      <c r="BX77" s="401"/>
      <c r="BY77" s="401"/>
      <c r="BZ77" s="401"/>
      <c r="CA77" s="401"/>
      <c r="CB77" s="401"/>
      <c r="CC77" s="401"/>
      <c r="CD77" s="401"/>
      <c r="CE77" s="401"/>
      <c r="CF77" s="401"/>
      <c r="CG77" s="401"/>
      <c r="CH77" s="401"/>
      <c r="CI77" s="401"/>
      <c r="CJ77" s="401"/>
      <c r="CK77" s="401"/>
      <c r="CL77" s="401"/>
      <c r="CM77" s="401"/>
      <c r="CN77" s="401"/>
      <c r="CO77" s="401"/>
      <c r="CP77" s="401"/>
      <c r="CQ77" s="401"/>
      <c r="CR77" s="401"/>
      <c r="CS77" s="401"/>
      <c r="CT77" s="401"/>
      <c r="CU77" s="401"/>
      <c r="CV77" s="401"/>
      <c r="CW77" s="401"/>
      <c r="CX77" s="401"/>
      <c r="CY77" s="401"/>
      <c r="CZ77" s="401"/>
      <c r="DA77" s="401"/>
      <c r="DB77" s="401"/>
      <c r="DC77" s="401"/>
      <c r="DD77" s="401"/>
      <c r="DE77" s="401"/>
      <c r="DF77" s="401"/>
      <c r="DG77" s="401"/>
      <c r="DH77" s="401"/>
      <c r="DI77" s="401"/>
      <c r="DJ77" s="401"/>
      <c r="DK77" s="401"/>
      <c r="DL77" s="401"/>
      <c r="DM77" s="401"/>
      <c r="DN77" s="401"/>
      <c r="DO77" s="401"/>
      <c r="DP77" s="401"/>
      <c r="DQ77" s="401"/>
      <c r="DR77" s="401"/>
      <c r="DS77" s="401"/>
      <c r="DT77" s="401"/>
      <c r="DU77" s="401"/>
      <c r="DV77" s="401"/>
    </row>
    <row r="78" spans="1:126" ht="12.75">
      <c r="A78" s="736">
        <v>2</v>
      </c>
      <c r="B78" s="742">
        <v>1.655</v>
      </c>
      <c r="C78" s="742">
        <f>-0.00546417*B78^2 - 0.28403585*B78 + 11.92514327+0.1</f>
        <v>11.540097440015749</v>
      </c>
      <c r="D78" s="739">
        <v>2</v>
      </c>
      <c r="E78" s="743">
        <v>3.1139999999999999</v>
      </c>
      <c r="F78" s="742">
        <f t="shared" ref="F78:F89" si="14" xml:space="preserve"> -0.00212898*E78^2 - 0.29829257*E78 + 15.28853066</f>
        <v>14.339002886475919</v>
      </c>
      <c r="G78" s="739">
        <v>2</v>
      </c>
      <c r="H78" s="743">
        <v>5</v>
      </c>
      <c r="I78" s="741">
        <f t="shared" ref="I78:I90" si="15">-0.1816*H78 + 13.665</f>
        <v>12.757</v>
      </c>
      <c r="J78" s="739">
        <v>2</v>
      </c>
      <c r="K78" s="743">
        <v>5.21</v>
      </c>
      <c r="L78" s="744">
        <f t="shared" ref="L78:L85" si="16">-0.2137*K78 + 17.443</f>
        <v>16.329623000000002</v>
      </c>
      <c r="M78" s="739">
        <v>2</v>
      </c>
      <c r="N78" s="743">
        <v>5.2</v>
      </c>
      <c r="O78" s="744">
        <f t="shared" ref="O78:O90" si="17" xml:space="preserve"> -0.0016*N78^2 - 0.1437*N78 + 23.04</f>
        <v>22.249496000000001</v>
      </c>
      <c r="P78" s="401"/>
      <c r="Q78" s="739">
        <v>2</v>
      </c>
      <c r="R78" s="743">
        <v>1.1000000000000001</v>
      </c>
      <c r="S78" s="744">
        <f>-0.0218*R78^2 - 0.7856*R78 + 17.979</f>
        <v>17.088462</v>
      </c>
      <c r="T78" s="720"/>
      <c r="U78" s="739">
        <v>2</v>
      </c>
      <c r="V78" s="743">
        <v>1.1000000000000001</v>
      </c>
      <c r="W78" s="744">
        <f>-0.0715*V78^2 - 0.415*V78 + 25.057</f>
        <v>24.513984999999998</v>
      </c>
      <c r="X78" s="401"/>
      <c r="Y78" s="401"/>
      <c r="Z78" s="401"/>
      <c r="AA78" s="401"/>
      <c r="AB78" s="401"/>
      <c r="AC78" s="401"/>
      <c r="AD78" s="401"/>
      <c r="AE78" s="401"/>
      <c r="AF78" s="401"/>
      <c r="AG78" s="401"/>
      <c r="AH78" s="401"/>
      <c r="AI78" s="401"/>
      <c r="AJ78" s="401"/>
      <c r="AK78" s="401"/>
      <c r="AL78" s="401"/>
      <c r="AM78" s="401"/>
      <c r="AN78" s="401"/>
      <c r="AO78" s="401"/>
      <c r="AP78" s="401"/>
      <c r="AQ78" s="401"/>
      <c r="AR78" s="401"/>
      <c r="AS78" s="401"/>
      <c r="AT78" s="401"/>
      <c r="AU78" s="401"/>
      <c r="AV78" s="401"/>
      <c r="AW78" s="401"/>
      <c r="AX78" s="401"/>
      <c r="AY78" s="401"/>
      <c r="AZ78" s="401"/>
      <c r="BA78" s="401"/>
      <c r="BB78" s="401"/>
      <c r="BC78" s="401"/>
      <c r="BD78" s="401"/>
      <c r="BE78" s="401"/>
      <c r="BF78" s="401"/>
      <c r="BG78" s="401"/>
      <c r="BH78" s="401"/>
      <c r="BI78" s="401"/>
      <c r="BJ78" s="401"/>
      <c r="BK78" s="401"/>
      <c r="BL78" s="401"/>
      <c r="BM78" s="401"/>
      <c r="BN78" s="401"/>
      <c r="BO78" s="401"/>
      <c r="BP78" s="401"/>
      <c r="BQ78" s="401"/>
      <c r="BR78" s="401"/>
      <c r="BS78" s="401"/>
      <c r="BT78" s="401"/>
      <c r="BU78" s="401"/>
      <c r="BV78" s="401"/>
      <c r="BW78" s="401"/>
      <c r="BX78" s="401"/>
      <c r="BY78" s="401"/>
      <c r="BZ78" s="401"/>
      <c r="CA78" s="401"/>
      <c r="CB78" s="401"/>
      <c r="CC78" s="401"/>
      <c r="CD78" s="401"/>
      <c r="CE78" s="401"/>
      <c r="CF78" s="401"/>
      <c r="CG78" s="401"/>
      <c r="CH78" s="401"/>
      <c r="CI78" s="401"/>
      <c r="CJ78" s="401"/>
      <c r="CK78" s="401"/>
      <c r="CL78" s="401"/>
      <c r="CM78" s="401"/>
      <c r="CN78" s="401"/>
      <c r="CO78" s="401"/>
      <c r="CP78" s="401"/>
      <c r="CQ78" s="401"/>
      <c r="CR78" s="401"/>
      <c r="CS78" s="401"/>
      <c r="CT78" s="401"/>
      <c r="CU78" s="401"/>
      <c r="CV78" s="401"/>
      <c r="CW78" s="401"/>
      <c r="CX78" s="401"/>
      <c r="CY78" s="401"/>
      <c r="CZ78" s="401"/>
      <c r="DA78" s="401"/>
      <c r="DB78" s="401"/>
      <c r="DC78" s="401"/>
      <c r="DD78" s="401"/>
      <c r="DE78" s="401"/>
      <c r="DF78" s="401"/>
      <c r="DG78" s="401"/>
      <c r="DH78" s="401"/>
      <c r="DI78" s="401"/>
      <c r="DJ78" s="401"/>
      <c r="DK78" s="401"/>
      <c r="DL78" s="401"/>
      <c r="DM78" s="401"/>
      <c r="DN78" s="401"/>
      <c r="DO78" s="401"/>
      <c r="DP78" s="401"/>
      <c r="DQ78" s="401"/>
      <c r="DR78" s="401"/>
      <c r="DS78" s="401"/>
      <c r="DT78" s="401"/>
      <c r="DU78" s="401"/>
      <c r="DV78" s="401"/>
    </row>
    <row r="79" spans="1:126" ht="12.75">
      <c r="A79" s="736">
        <v>3</v>
      </c>
      <c r="B79" s="742">
        <v>2.9990000000000001</v>
      </c>
      <c r="C79" s="742">
        <v>11.15</v>
      </c>
      <c r="D79" s="739">
        <v>3</v>
      </c>
      <c r="E79" s="743">
        <v>6.4059999999999997</v>
      </c>
      <c r="F79" s="742">
        <f t="shared" si="14"/>
        <v>13.29030185347272</v>
      </c>
      <c r="G79" s="739">
        <v>3</v>
      </c>
      <c r="H79" s="743">
        <v>8.4</v>
      </c>
      <c r="I79" s="741">
        <f t="shared" si="15"/>
        <v>12.139559999999999</v>
      </c>
      <c r="J79" s="739">
        <v>3</v>
      </c>
      <c r="K79" s="743">
        <v>8.4</v>
      </c>
      <c r="L79" s="744">
        <f t="shared" si="16"/>
        <v>15.647920000000001</v>
      </c>
      <c r="M79" s="739">
        <v>3</v>
      </c>
      <c r="N79" s="743">
        <v>8.4</v>
      </c>
      <c r="O79" s="744">
        <f t="shared" si="17"/>
        <v>21.720023999999999</v>
      </c>
      <c r="P79" s="401"/>
      <c r="Q79" s="739">
        <v>3</v>
      </c>
      <c r="R79" s="743">
        <v>2.2000000000000002</v>
      </c>
      <c r="S79" s="744">
        <f t="shared" ref="S79:S90" si="18">-0.0218*R79^2 - 0.7856*R79 + 17.979</f>
        <v>16.145167999999998</v>
      </c>
      <c r="T79" s="720"/>
      <c r="U79" s="739">
        <v>3</v>
      </c>
      <c r="V79" s="743">
        <v>2.2000000000000002</v>
      </c>
      <c r="W79" s="744">
        <f t="shared" ref="W79:W90" si="19">-0.0715*V79^2 - 0.415*V79 + 25.057</f>
        <v>23.797939999999997</v>
      </c>
      <c r="X79" s="401"/>
      <c r="Y79" s="401"/>
      <c r="Z79" s="401"/>
      <c r="AA79" s="401"/>
      <c r="AB79" s="401"/>
      <c r="AC79" s="401"/>
      <c r="AD79" s="401"/>
      <c r="AE79" s="401"/>
      <c r="AF79" s="401"/>
      <c r="AG79" s="401"/>
      <c r="AH79" s="401"/>
      <c r="AI79" s="401"/>
      <c r="AJ79" s="401"/>
      <c r="AK79" s="401"/>
      <c r="AL79" s="401"/>
      <c r="AM79" s="401"/>
      <c r="AN79" s="401"/>
      <c r="AO79" s="401"/>
      <c r="AP79" s="401"/>
      <c r="AQ79" s="401"/>
      <c r="AR79" s="401"/>
      <c r="AS79" s="401"/>
      <c r="AT79" s="401"/>
      <c r="AU79" s="401"/>
      <c r="AV79" s="401"/>
      <c r="AW79" s="401"/>
      <c r="AX79" s="401"/>
      <c r="AY79" s="401"/>
      <c r="AZ79" s="401"/>
      <c r="BA79" s="401"/>
      <c r="BB79" s="401"/>
      <c r="BC79" s="401"/>
      <c r="BD79" s="401"/>
      <c r="BE79" s="401"/>
      <c r="BF79" s="401"/>
      <c r="BG79" s="401"/>
      <c r="BH79" s="401"/>
      <c r="BI79" s="401"/>
      <c r="BJ79" s="401"/>
      <c r="BK79" s="401"/>
      <c r="BL79" s="401"/>
      <c r="BM79" s="401"/>
      <c r="BN79" s="401"/>
      <c r="BO79" s="401"/>
      <c r="BP79" s="401"/>
      <c r="BQ79" s="401"/>
      <c r="BR79" s="401"/>
      <c r="BS79" s="401"/>
      <c r="BT79" s="401"/>
      <c r="BU79" s="401"/>
      <c r="BV79" s="401"/>
      <c r="BW79" s="401"/>
      <c r="BX79" s="401"/>
      <c r="BY79" s="401"/>
      <c r="BZ79" s="401"/>
      <c r="CA79" s="401"/>
      <c r="CB79" s="401"/>
      <c r="CC79" s="401"/>
      <c r="CD79" s="401"/>
      <c r="CE79" s="401"/>
      <c r="CF79" s="401"/>
      <c r="CG79" s="401"/>
      <c r="CH79" s="401"/>
      <c r="CI79" s="401"/>
      <c r="CJ79" s="401"/>
      <c r="CK79" s="401"/>
      <c r="CL79" s="401"/>
      <c r="CM79" s="401"/>
      <c r="CN79" s="401"/>
      <c r="CO79" s="401"/>
      <c r="CP79" s="401"/>
      <c r="CQ79" s="401"/>
      <c r="CR79" s="401"/>
      <c r="CS79" s="401"/>
      <c r="CT79" s="401"/>
      <c r="CU79" s="401"/>
      <c r="CV79" s="401"/>
      <c r="CW79" s="401"/>
      <c r="CX79" s="401"/>
      <c r="CY79" s="401"/>
      <c r="CZ79" s="401"/>
      <c r="DA79" s="401"/>
      <c r="DB79" s="401"/>
      <c r="DC79" s="401"/>
      <c r="DD79" s="401"/>
      <c r="DE79" s="401"/>
      <c r="DF79" s="401"/>
      <c r="DG79" s="401"/>
      <c r="DH79" s="401"/>
      <c r="DI79" s="401"/>
      <c r="DJ79" s="401"/>
      <c r="DK79" s="401"/>
      <c r="DL79" s="401"/>
      <c r="DM79" s="401"/>
      <c r="DN79" s="401"/>
      <c r="DO79" s="401"/>
      <c r="DP79" s="401"/>
      <c r="DQ79" s="401"/>
      <c r="DR79" s="401"/>
      <c r="DS79" s="401"/>
      <c r="DT79" s="401"/>
      <c r="DU79" s="401"/>
      <c r="DV79" s="401"/>
    </row>
    <row r="80" spans="1:126" ht="12.75">
      <c r="A80" s="736">
        <v>4</v>
      </c>
      <c r="B80" s="742">
        <v>5.1040000000000001</v>
      </c>
      <c r="C80" s="742">
        <f t="shared" ref="C80:C88" si="20">-0.00546417*B80^2 - 0.28403585*B80 + 11.92514327+0.2</f>
        <v>10.533078204337279</v>
      </c>
      <c r="D80" s="739">
        <v>4</v>
      </c>
      <c r="E80" s="743">
        <v>8.6050000000000004</v>
      </c>
      <c r="F80" s="742">
        <f t="shared" si="14"/>
        <v>12.564080588845499</v>
      </c>
      <c r="G80" s="739">
        <v>4</v>
      </c>
      <c r="H80" s="743">
        <v>10.949</v>
      </c>
      <c r="I80" s="741">
        <f t="shared" si="15"/>
        <v>11.676661599999999</v>
      </c>
      <c r="J80" s="739">
        <v>4</v>
      </c>
      <c r="K80" s="743">
        <v>10.9</v>
      </c>
      <c r="L80" s="744">
        <f t="shared" si="16"/>
        <v>15.113670000000001</v>
      </c>
      <c r="M80" s="739">
        <v>4</v>
      </c>
      <c r="N80" s="743">
        <v>10.9</v>
      </c>
      <c r="O80" s="744">
        <f t="shared" si="17"/>
        <v>21.283573999999998</v>
      </c>
      <c r="P80" s="401"/>
      <c r="Q80" s="739">
        <v>4</v>
      </c>
      <c r="R80" s="743">
        <v>3.3</v>
      </c>
      <c r="S80" s="744">
        <f t="shared" si="18"/>
        <v>15.149118</v>
      </c>
      <c r="T80" s="720"/>
      <c r="U80" s="739">
        <v>4</v>
      </c>
      <c r="V80" s="743">
        <v>3.3</v>
      </c>
      <c r="W80" s="744">
        <f t="shared" si="19"/>
        <v>22.908864999999999</v>
      </c>
      <c r="X80" s="401"/>
      <c r="Y80" s="401"/>
      <c r="Z80" s="401"/>
      <c r="AA80" s="401"/>
      <c r="AB80" s="401"/>
      <c r="AC80" s="401"/>
      <c r="AD80" s="401"/>
      <c r="AE80" s="401"/>
      <c r="AF80" s="401"/>
      <c r="AG80" s="401"/>
      <c r="AH80" s="401"/>
      <c r="AI80" s="401"/>
      <c r="AJ80" s="401"/>
      <c r="AK80" s="401"/>
      <c r="AL80" s="401"/>
      <c r="AM80" s="401"/>
      <c r="AN80" s="401"/>
      <c r="AO80" s="401"/>
      <c r="AP80" s="401"/>
      <c r="AQ80" s="401"/>
      <c r="AR80" s="401"/>
      <c r="AS80" s="401"/>
      <c r="AT80" s="401"/>
      <c r="AU80" s="401"/>
      <c r="AV80" s="401"/>
      <c r="AW80" s="401"/>
      <c r="AX80" s="401"/>
      <c r="AY80" s="401"/>
      <c r="AZ80" s="401"/>
      <c r="BA80" s="401"/>
      <c r="BB80" s="401"/>
      <c r="BC80" s="401"/>
      <c r="BD80" s="401"/>
      <c r="BE80" s="401"/>
      <c r="BF80" s="401"/>
      <c r="BG80" s="401"/>
      <c r="BH80" s="401"/>
      <c r="BI80" s="401"/>
      <c r="BJ80" s="401"/>
      <c r="BK80" s="401"/>
      <c r="BL80" s="401"/>
      <c r="BM80" s="401"/>
      <c r="BN80" s="401"/>
      <c r="BO80" s="401"/>
      <c r="BP80" s="401"/>
      <c r="BQ80" s="401"/>
      <c r="BR80" s="401"/>
      <c r="BS80" s="401"/>
      <c r="BT80" s="401"/>
      <c r="BU80" s="401"/>
      <c r="BV80" s="401"/>
      <c r="BW80" s="401"/>
      <c r="BX80" s="401"/>
      <c r="BY80" s="401"/>
      <c r="BZ80" s="401"/>
      <c r="CA80" s="401"/>
      <c r="CB80" s="401"/>
      <c r="CC80" s="401"/>
      <c r="CD80" s="401"/>
      <c r="CE80" s="401"/>
      <c r="CF80" s="401"/>
      <c r="CG80" s="401"/>
      <c r="CH80" s="401"/>
      <c r="CI80" s="401"/>
      <c r="CJ80" s="401"/>
      <c r="CK80" s="401"/>
      <c r="CL80" s="401"/>
      <c r="CM80" s="401"/>
      <c r="CN80" s="401"/>
      <c r="CO80" s="401"/>
      <c r="CP80" s="401"/>
      <c r="CQ80" s="401"/>
      <c r="CR80" s="401"/>
      <c r="CS80" s="401"/>
      <c r="CT80" s="401"/>
      <c r="CU80" s="401"/>
      <c r="CV80" s="401"/>
      <c r="CW80" s="401"/>
      <c r="CX80" s="401"/>
      <c r="CY80" s="401"/>
      <c r="CZ80" s="401"/>
      <c r="DA80" s="401"/>
      <c r="DB80" s="401"/>
      <c r="DC80" s="401"/>
      <c r="DD80" s="401"/>
      <c r="DE80" s="401"/>
      <c r="DF80" s="401"/>
      <c r="DG80" s="401"/>
      <c r="DH80" s="401"/>
      <c r="DI80" s="401"/>
      <c r="DJ80" s="401"/>
      <c r="DK80" s="401"/>
      <c r="DL80" s="401"/>
      <c r="DM80" s="401"/>
      <c r="DN80" s="401"/>
      <c r="DO80" s="401"/>
      <c r="DP80" s="401"/>
      <c r="DQ80" s="401"/>
      <c r="DR80" s="401"/>
      <c r="DS80" s="401"/>
      <c r="DT80" s="401"/>
      <c r="DU80" s="401"/>
      <c r="DV80" s="401"/>
    </row>
    <row r="81" spans="1:126" ht="12.75">
      <c r="A81" s="736">
        <v>5</v>
      </c>
      <c r="B81" s="742">
        <v>6.827</v>
      </c>
      <c r="C81" s="742">
        <f t="shared" si="20"/>
        <v>9.9313568746460685</v>
      </c>
      <c r="D81" s="739">
        <v>5</v>
      </c>
      <c r="E81" s="743">
        <v>11.661</v>
      </c>
      <c r="F81" s="742">
        <f t="shared" si="14"/>
        <v>11.52064459799942</v>
      </c>
      <c r="G81" s="739">
        <v>5</v>
      </c>
      <c r="H81" s="743">
        <v>12.7</v>
      </c>
      <c r="I81" s="741">
        <f t="shared" si="15"/>
        <v>11.35868</v>
      </c>
      <c r="J81" s="739">
        <v>5</v>
      </c>
      <c r="K81" s="743">
        <v>12.7</v>
      </c>
      <c r="L81" s="744">
        <f t="shared" si="16"/>
        <v>14.729010000000002</v>
      </c>
      <c r="M81" s="739">
        <v>5</v>
      </c>
      <c r="N81" s="743">
        <v>12.7</v>
      </c>
      <c r="O81" s="744">
        <f t="shared" si="17"/>
        <v>20.956945999999999</v>
      </c>
      <c r="P81" s="401"/>
      <c r="Q81" s="739">
        <v>5</v>
      </c>
      <c r="R81" s="743">
        <v>4.4000000000000004</v>
      </c>
      <c r="S81" s="744">
        <f t="shared" si="18"/>
        <v>14.100311999999999</v>
      </c>
      <c r="T81" s="720"/>
      <c r="U81" s="739">
        <v>5</v>
      </c>
      <c r="V81" s="743">
        <v>4.4000000000000004</v>
      </c>
      <c r="W81" s="744">
        <f t="shared" si="19"/>
        <v>21.84676</v>
      </c>
      <c r="X81" s="401"/>
      <c r="Y81" s="401"/>
      <c r="Z81" s="401"/>
      <c r="AA81" s="401"/>
      <c r="AB81" s="401"/>
      <c r="AC81" s="401"/>
      <c r="AD81" s="401"/>
      <c r="AE81" s="401"/>
      <c r="AF81" s="401"/>
      <c r="AG81" s="401"/>
      <c r="AH81" s="401"/>
      <c r="AI81" s="401"/>
      <c r="AJ81" s="401"/>
      <c r="AK81" s="401"/>
      <c r="AL81" s="401"/>
      <c r="AM81" s="401"/>
      <c r="AN81" s="401"/>
      <c r="AO81" s="401"/>
      <c r="AP81" s="401"/>
      <c r="AQ81" s="401"/>
      <c r="AR81" s="401"/>
      <c r="AS81" s="401"/>
      <c r="AT81" s="401"/>
      <c r="AU81" s="401"/>
      <c r="AV81" s="401"/>
      <c r="AW81" s="401"/>
      <c r="AX81" s="401"/>
      <c r="AY81" s="401"/>
      <c r="AZ81" s="401"/>
      <c r="BA81" s="401"/>
      <c r="BB81" s="401"/>
      <c r="BC81" s="401"/>
      <c r="BD81" s="401"/>
      <c r="BE81" s="401"/>
      <c r="BF81" s="401"/>
      <c r="BG81" s="401"/>
      <c r="BH81" s="401"/>
      <c r="BI81" s="401"/>
      <c r="BJ81" s="401"/>
      <c r="BK81" s="401"/>
      <c r="BL81" s="401"/>
      <c r="BM81" s="401"/>
      <c r="BN81" s="401"/>
      <c r="BO81" s="401"/>
      <c r="BP81" s="401"/>
      <c r="BQ81" s="401"/>
      <c r="BR81" s="401"/>
      <c r="BS81" s="401"/>
      <c r="BT81" s="401"/>
      <c r="BU81" s="401"/>
      <c r="BV81" s="401"/>
      <c r="BW81" s="401"/>
      <c r="BX81" s="401"/>
      <c r="BY81" s="401"/>
      <c r="BZ81" s="401"/>
      <c r="CA81" s="401"/>
      <c r="CB81" s="401"/>
      <c r="CC81" s="401"/>
      <c r="CD81" s="401"/>
      <c r="CE81" s="401"/>
      <c r="CF81" s="401"/>
      <c r="CG81" s="401"/>
      <c r="CH81" s="401"/>
      <c r="CI81" s="401"/>
      <c r="CJ81" s="401"/>
      <c r="CK81" s="401"/>
      <c r="CL81" s="401"/>
      <c r="CM81" s="401"/>
      <c r="CN81" s="401"/>
      <c r="CO81" s="401"/>
      <c r="CP81" s="401"/>
      <c r="CQ81" s="401"/>
      <c r="CR81" s="401"/>
      <c r="CS81" s="401"/>
      <c r="CT81" s="401"/>
      <c r="CU81" s="401"/>
      <c r="CV81" s="401"/>
      <c r="CW81" s="401"/>
      <c r="CX81" s="401"/>
      <c r="CY81" s="401"/>
      <c r="CZ81" s="401"/>
      <c r="DA81" s="401"/>
      <c r="DB81" s="401"/>
      <c r="DC81" s="401"/>
      <c r="DD81" s="401"/>
      <c r="DE81" s="401"/>
      <c r="DF81" s="401"/>
      <c r="DG81" s="401"/>
      <c r="DH81" s="401"/>
      <c r="DI81" s="401"/>
      <c r="DJ81" s="401"/>
      <c r="DK81" s="401"/>
      <c r="DL81" s="401"/>
      <c r="DM81" s="401"/>
      <c r="DN81" s="401"/>
      <c r="DO81" s="401"/>
      <c r="DP81" s="401"/>
      <c r="DQ81" s="401"/>
      <c r="DR81" s="401"/>
      <c r="DS81" s="401"/>
      <c r="DT81" s="401"/>
      <c r="DU81" s="401"/>
      <c r="DV81" s="401"/>
    </row>
    <row r="82" spans="1:126">
      <c r="A82" s="736">
        <v>6</v>
      </c>
      <c r="B82" s="742">
        <v>9.2710000000000008</v>
      </c>
      <c r="C82" s="742">
        <f t="shared" si="20"/>
        <v>9.0221936192810297</v>
      </c>
      <c r="D82" s="739">
        <v>6</v>
      </c>
      <c r="E82" s="743">
        <v>14.502000000000001</v>
      </c>
      <c r="F82" s="742">
        <f t="shared" si="14"/>
        <v>10.514950275504079</v>
      </c>
      <c r="G82" s="739">
        <v>6</v>
      </c>
      <c r="H82" s="743">
        <v>16.494</v>
      </c>
      <c r="I82" s="741">
        <f t="shared" si="15"/>
        <v>10.669689599999998</v>
      </c>
      <c r="J82" s="739">
        <v>6</v>
      </c>
      <c r="K82" s="743">
        <v>16.5</v>
      </c>
      <c r="L82" s="744">
        <f t="shared" si="16"/>
        <v>13.916950000000002</v>
      </c>
      <c r="M82" s="739">
        <v>6</v>
      </c>
      <c r="N82" s="743">
        <v>19.8</v>
      </c>
      <c r="O82" s="744">
        <f t="shared" si="17"/>
        <v>19.567475999999999</v>
      </c>
      <c r="P82" s="401"/>
      <c r="Q82" s="739">
        <v>6</v>
      </c>
      <c r="R82" s="743">
        <v>5.5</v>
      </c>
      <c r="S82" s="744">
        <f t="shared" si="18"/>
        <v>12.998749999999999</v>
      </c>
      <c r="T82" s="401"/>
      <c r="U82" s="739">
        <v>6</v>
      </c>
      <c r="V82" s="743">
        <v>5.5</v>
      </c>
      <c r="W82" s="744">
        <f t="shared" si="19"/>
        <v>20.611625</v>
      </c>
      <c r="X82" s="401"/>
      <c r="Y82" s="401"/>
      <c r="Z82" s="401"/>
      <c r="AA82" s="401"/>
      <c r="AB82" s="401"/>
      <c r="AC82" s="401"/>
      <c r="AD82" s="401"/>
      <c r="AE82" s="401"/>
      <c r="AF82" s="401"/>
      <c r="AG82" s="401"/>
      <c r="AH82" s="401"/>
      <c r="AI82" s="401"/>
      <c r="AJ82" s="401"/>
      <c r="AK82" s="401"/>
      <c r="AL82" s="401"/>
      <c r="AM82" s="401"/>
      <c r="AN82" s="401"/>
      <c r="AO82" s="401"/>
      <c r="AP82" s="401"/>
      <c r="AQ82" s="401"/>
      <c r="AR82" s="401"/>
      <c r="AS82" s="401"/>
      <c r="AT82" s="401"/>
      <c r="AU82" s="401"/>
      <c r="AV82" s="401"/>
      <c r="AW82" s="401"/>
      <c r="AX82" s="401"/>
      <c r="AY82" s="401"/>
      <c r="AZ82" s="401"/>
      <c r="BA82" s="401"/>
      <c r="BB82" s="401"/>
      <c r="BC82" s="401"/>
      <c r="BD82" s="401"/>
      <c r="BE82" s="401"/>
      <c r="BF82" s="401"/>
      <c r="BG82" s="401"/>
      <c r="BH82" s="401"/>
      <c r="BI82" s="401"/>
      <c r="BJ82" s="401"/>
      <c r="BK82" s="401"/>
      <c r="BL82" s="401"/>
      <c r="BM82" s="401"/>
      <c r="BN82" s="401"/>
      <c r="BO82" s="401"/>
      <c r="BP82" s="401"/>
      <c r="BQ82" s="401"/>
      <c r="BR82" s="401"/>
      <c r="BS82" s="401"/>
      <c r="BT82" s="401"/>
      <c r="BU82" s="401"/>
      <c r="BV82" s="401"/>
      <c r="BW82" s="401"/>
      <c r="BX82" s="401"/>
      <c r="BY82" s="401"/>
      <c r="BZ82" s="401"/>
      <c r="CA82" s="401"/>
      <c r="CB82" s="401"/>
      <c r="CC82" s="401"/>
      <c r="CD82" s="401"/>
      <c r="CE82" s="401"/>
      <c r="CF82" s="401"/>
      <c r="CG82" s="401"/>
      <c r="CH82" s="401"/>
      <c r="CI82" s="401"/>
      <c r="CJ82" s="401"/>
      <c r="CK82" s="401"/>
      <c r="CL82" s="401"/>
      <c r="CM82" s="401"/>
      <c r="CN82" s="401"/>
      <c r="CO82" s="401"/>
      <c r="CP82" s="401"/>
      <c r="CQ82" s="401"/>
      <c r="CR82" s="401"/>
      <c r="CS82" s="401"/>
      <c r="CT82" s="401"/>
      <c r="CU82" s="401"/>
      <c r="CV82" s="401"/>
      <c r="CW82" s="401"/>
      <c r="CX82" s="401"/>
      <c r="CY82" s="401"/>
      <c r="CZ82" s="401"/>
      <c r="DA82" s="401"/>
      <c r="DB82" s="401"/>
      <c r="DC82" s="401"/>
      <c r="DD82" s="401"/>
      <c r="DE82" s="401"/>
      <c r="DF82" s="401"/>
      <c r="DG82" s="401"/>
      <c r="DH82" s="401"/>
      <c r="DI82" s="401"/>
      <c r="DJ82" s="401"/>
      <c r="DK82" s="401"/>
      <c r="DL82" s="401"/>
      <c r="DM82" s="401"/>
      <c r="DN82" s="401"/>
      <c r="DO82" s="401"/>
      <c r="DP82" s="401"/>
      <c r="DQ82" s="401"/>
      <c r="DR82" s="401"/>
      <c r="DS82" s="401"/>
      <c r="DT82" s="401"/>
      <c r="DU82" s="401"/>
      <c r="DV82" s="401"/>
    </row>
    <row r="83" spans="1:126">
      <c r="A83" s="736">
        <v>7</v>
      </c>
      <c r="B83" s="742">
        <v>11.295</v>
      </c>
      <c r="C83" s="742">
        <f t="shared" si="20"/>
        <v>8.219855791555748</v>
      </c>
      <c r="D83" s="739">
        <v>7</v>
      </c>
      <c r="E83" s="743">
        <v>17.596</v>
      </c>
      <c r="F83" s="742">
        <f t="shared" si="14"/>
        <v>9.380601479800319</v>
      </c>
      <c r="G83" s="739">
        <v>7</v>
      </c>
      <c r="H83" s="743">
        <v>19.8</v>
      </c>
      <c r="I83" s="741">
        <f t="shared" si="15"/>
        <v>10.069319999999999</v>
      </c>
      <c r="J83" s="739">
        <v>7</v>
      </c>
      <c r="K83" s="743">
        <v>19.8</v>
      </c>
      <c r="L83" s="744">
        <f t="shared" si="16"/>
        <v>13.211740000000002</v>
      </c>
      <c r="M83" s="739">
        <v>7</v>
      </c>
      <c r="N83" s="743">
        <v>27.5</v>
      </c>
      <c r="O83" s="744">
        <f t="shared" si="17"/>
        <v>17.878250000000001</v>
      </c>
      <c r="P83" s="401"/>
      <c r="Q83" s="739">
        <v>7</v>
      </c>
      <c r="R83" s="743">
        <v>6.6</v>
      </c>
      <c r="S83" s="744">
        <f t="shared" si="18"/>
        <v>11.844432000000001</v>
      </c>
      <c r="T83" s="401"/>
      <c r="U83" s="739">
        <v>7</v>
      </c>
      <c r="V83" s="743">
        <v>6.6</v>
      </c>
      <c r="W83" s="744">
        <f t="shared" si="19"/>
        <v>19.20346</v>
      </c>
      <c r="X83" s="401"/>
      <c r="Y83" s="401"/>
      <c r="Z83" s="401"/>
      <c r="AA83" s="401"/>
      <c r="AB83" s="401"/>
      <c r="AC83" s="401"/>
      <c r="AD83" s="401"/>
      <c r="AE83" s="401"/>
      <c r="AF83" s="401"/>
      <c r="AG83" s="401"/>
      <c r="AH83" s="401"/>
      <c r="AI83" s="401"/>
      <c r="AJ83" s="401"/>
      <c r="AK83" s="401"/>
      <c r="AL83" s="401"/>
      <c r="AM83" s="401"/>
      <c r="AN83" s="401"/>
      <c r="AO83" s="401"/>
      <c r="AP83" s="401"/>
      <c r="AQ83" s="401"/>
      <c r="AR83" s="401"/>
      <c r="AS83" s="401"/>
      <c r="AT83" s="401"/>
      <c r="AU83" s="401"/>
      <c r="AV83" s="401"/>
      <c r="AW83" s="401"/>
      <c r="AX83" s="401"/>
      <c r="AY83" s="401"/>
      <c r="AZ83" s="401"/>
      <c r="BA83" s="401"/>
      <c r="BB83" s="401"/>
      <c r="BC83" s="401"/>
      <c r="BD83" s="401"/>
      <c r="BE83" s="401"/>
      <c r="BF83" s="401"/>
      <c r="BG83" s="401"/>
      <c r="BH83" s="401"/>
      <c r="BI83" s="401"/>
      <c r="BJ83" s="401"/>
      <c r="BK83" s="401"/>
      <c r="BL83" s="401"/>
      <c r="BM83" s="401"/>
      <c r="BN83" s="401"/>
      <c r="BO83" s="401"/>
      <c r="BP83" s="401"/>
      <c r="BQ83" s="401"/>
      <c r="BR83" s="401"/>
      <c r="BS83" s="401"/>
      <c r="BT83" s="401"/>
      <c r="BU83" s="401"/>
      <c r="BV83" s="401"/>
      <c r="BW83" s="401"/>
      <c r="BX83" s="401"/>
      <c r="BY83" s="401"/>
      <c r="BZ83" s="401"/>
      <c r="CA83" s="401"/>
      <c r="CB83" s="401"/>
      <c r="CC83" s="401"/>
      <c r="CD83" s="401"/>
      <c r="CE83" s="401"/>
      <c r="CF83" s="401"/>
      <c r="CG83" s="401"/>
      <c r="CH83" s="401"/>
      <c r="CI83" s="401"/>
      <c r="CJ83" s="401"/>
      <c r="CK83" s="401"/>
      <c r="CL83" s="401"/>
      <c r="CM83" s="401"/>
      <c r="CN83" s="401"/>
      <c r="CO83" s="401"/>
      <c r="CP83" s="401"/>
      <c r="CQ83" s="401"/>
      <c r="CR83" s="401"/>
      <c r="CS83" s="401"/>
      <c r="CT83" s="401"/>
      <c r="CU83" s="401"/>
      <c r="CV83" s="401"/>
      <c r="CW83" s="401"/>
      <c r="CX83" s="401"/>
      <c r="CY83" s="401"/>
      <c r="CZ83" s="401"/>
      <c r="DA83" s="401"/>
      <c r="DB83" s="401"/>
      <c r="DC83" s="401"/>
      <c r="DD83" s="401"/>
      <c r="DE83" s="401"/>
      <c r="DF83" s="401"/>
      <c r="DG83" s="401"/>
      <c r="DH83" s="401"/>
      <c r="DI83" s="401"/>
      <c r="DJ83" s="401"/>
      <c r="DK83" s="401"/>
      <c r="DL83" s="401"/>
      <c r="DM83" s="401"/>
      <c r="DN83" s="401"/>
      <c r="DO83" s="401"/>
      <c r="DP83" s="401"/>
      <c r="DQ83" s="401"/>
      <c r="DR83" s="401"/>
      <c r="DS83" s="401"/>
      <c r="DT83" s="401"/>
      <c r="DU83" s="401"/>
      <c r="DV83" s="401"/>
    </row>
    <row r="84" spans="1:126" ht="14.25">
      <c r="A84" s="745">
        <v>8</v>
      </c>
      <c r="B84" s="742">
        <v>13.691000000000001</v>
      </c>
      <c r="C84" s="742">
        <f t="shared" si="20"/>
        <v>7.2121854020742298</v>
      </c>
      <c r="D84" s="739">
        <v>8</v>
      </c>
      <c r="E84" s="743">
        <v>20.591999999999999</v>
      </c>
      <c r="F84" s="742">
        <f t="shared" si="14"/>
        <v>8.2433376813132817</v>
      </c>
      <c r="G84" s="739">
        <v>8</v>
      </c>
      <c r="H84" s="743">
        <v>22.524000000000001</v>
      </c>
      <c r="I84" s="741">
        <f t="shared" si="15"/>
        <v>9.5746415999999996</v>
      </c>
      <c r="J84" s="739">
        <v>8</v>
      </c>
      <c r="K84" s="743">
        <v>27.5</v>
      </c>
      <c r="L84" s="744">
        <f t="shared" si="16"/>
        <v>11.56625</v>
      </c>
      <c r="M84" s="739">
        <v>8</v>
      </c>
      <c r="N84" s="743">
        <v>41.6</v>
      </c>
      <c r="O84" s="744">
        <f t="shared" si="17"/>
        <v>14.293183999999998</v>
      </c>
      <c r="P84" s="401"/>
      <c r="Q84" s="739">
        <v>8</v>
      </c>
      <c r="R84" s="743">
        <v>7.7</v>
      </c>
      <c r="S84" s="744">
        <f t="shared" si="18"/>
        <v>10.637357999999999</v>
      </c>
      <c r="T84" s="401"/>
      <c r="U84" s="739">
        <v>8</v>
      </c>
      <c r="V84" s="743">
        <v>7.7</v>
      </c>
      <c r="W84" s="744">
        <f t="shared" si="19"/>
        <v>17.622264999999999</v>
      </c>
      <c r="X84" s="401"/>
      <c r="Y84" s="401"/>
      <c r="Z84" s="401"/>
      <c r="AA84" s="401"/>
      <c r="AB84" s="401"/>
      <c r="AC84" s="401"/>
      <c r="AD84" s="401"/>
      <c r="AE84" s="401"/>
      <c r="AF84" s="401"/>
      <c r="AG84" s="401"/>
      <c r="AH84" s="401"/>
      <c r="AI84" s="401"/>
      <c r="AJ84" s="401"/>
      <c r="AK84" s="401"/>
      <c r="AL84" s="401"/>
      <c r="AM84" s="401"/>
      <c r="AN84" s="401"/>
      <c r="AO84" s="401"/>
      <c r="AP84" s="401"/>
      <c r="AQ84" s="401"/>
      <c r="AR84" s="401"/>
      <c r="AS84" s="401"/>
      <c r="AT84" s="401"/>
      <c r="AU84" s="401"/>
      <c r="AV84" s="401"/>
      <c r="AW84" s="401"/>
      <c r="AX84" s="401"/>
      <c r="AY84" s="401"/>
      <c r="AZ84" s="401"/>
      <c r="BA84" s="401"/>
      <c r="BB84" s="401"/>
      <c r="BC84" s="401"/>
      <c r="BD84" s="401"/>
      <c r="BE84" s="401"/>
      <c r="BF84" s="401"/>
      <c r="BG84" s="401"/>
      <c r="BH84" s="401"/>
      <c r="BI84" s="401"/>
      <c r="BJ84" s="401"/>
      <c r="BK84" s="401"/>
      <c r="BL84" s="401"/>
      <c r="BM84" s="401"/>
      <c r="BN84" s="401"/>
      <c r="BO84" s="401"/>
      <c r="BP84" s="401"/>
      <c r="BQ84" s="401"/>
      <c r="BR84" s="401"/>
      <c r="BS84" s="401"/>
      <c r="BT84" s="401"/>
      <c r="BU84" s="401"/>
      <c r="BV84" s="401"/>
      <c r="BW84" s="401"/>
      <c r="BX84" s="401"/>
      <c r="BY84" s="401"/>
      <c r="BZ84" s="401"/>
      <c r="CA84" s="401"/>
      <c r="CB84" s="401"/>
      <c r="CC84" s="401"/>
      <c r="CD84" s="401"/>
      <c r="CE84" s="401"/>
      <c r="CF84" s="401"/>
      <c r="CG84" s="401"/>
      <c r="CH84" s="401"/>
      <c r="CI84" s="401"/>
      <c r="CJ84" s="401"/>
      <c r="CK84" s="401"/>
      <c r="CL84" s="401"/>
      <c r="CM84" s="401"/>
      <c r="CN84" s="401"/>
      <c r="CO84" s="401"/>
      <c r="CP84" s="401"/>
      <c r="CQ84" s="401"/>
      <c r="CR84" s="401"/>
      <c r="CS84" s="401"/>
      <c r="CT84" s="401"/>
      <c r="CU84" s="401"/>
      <c r="CV84" s="401"/>
      <c r="CW84" s="401"/>
      <c r="CX84" s="401"/>
      <c r="CY84" s="401"/>
      <c r="CZ84" s="401"/>
      <c r="DA84" s="401"/>
      <c r="DB84" s="401"/>
      <c r="DC84" s="401"/>
      <c r="DD84" s="401"/>
      <c r="DE84" s="401"/>
      <c r="DF84" s="401"/>
      <c r="DG84" s="401"/>
      <c r="DH84" s="401"/>
      <c r="DI84" s="401"/>
      <c r="DJ84" s="401"/>
      <c r="DK84" s="401"/>
      <c r="DL84" s="401"/>
      <c r="DM84" s="401"/>
      <c r="DN84" s="401"/>
      <c r="DO84" s="401"/>
      <c r="DP84" s="401"/>
      <c r="DQ84" s="401"/>
      <c r="DR84" s="401"/>
      <c r="DS84" s="401"/>
      <c r="DT84" s="401"/>
      <c r="DU84" s="401"/>
      <c r="DV84" s="401"/>
    </row>
    <row r="85" spans="1:126" ht="12.75">
      <c r="A85" s="746">
        <v>9</v>
      </c>
      <c r="B85" s="742">
        <v>15.337999999999999</v>
      </c>
      <c r="C85" s="742">
        <f t="shared" si="20"/>
        <v>6.4831322202625197</v>
      </c>
      <c r="D85" s="739">
        <v>9</v>
      </c>
      <c r="E85" s="743">
        <v>23.882999999999999</v>
      </c>
      <c r="F85" s="742">
        <f t="shared" si="14"/>
        <v>6.9500439387627804</v>
      </c>
      <c r="G85" s="739">
        <v>9</v>
      </c>
      <c r="H85" s="743">
        <v>24.5</v>
      </c>
      <c r="I85" s="741">
        <f t="shared" si="15"/>
        <v>9.215799999999998</v>
      </c>
      <c r="J85" s="739">
        <v>9</v>
      </c>
      <c r="K85" s="743">
        <v>41.6</v>
      </c>
      <c r="L85" s="744">
        <f t="shared" si="16"/>
        <v>8.5530800000000013</v>
      </c>
      <c r="M85" s="739">
        <v>9</v>
      </c>
      <c r="N85" s="743">
        <v>50</v>
      </c>
      <c r="O85" s="744">
        <f t="shared" si="17"/>
        <v>11.855</v>
      </c>
      <c r="P85" s="401"/>
      <c r="Q85" s="739">
        <v>9</v>
      </c>
      <c r="R85" s="743">
        <v>8.8000000000000007</v>
      </c>
      <c r="S85" s="744">
        <f t="shared" si="18"/>
        <v>9.3775279999999981</v>
      </c>
      <c r="T85" s="401"/>
      <c r="U85" s="739">
        <v>9</v>
      </c>
      <c r="V85" s="743">
        <v>8.8000000000000007</v>
      </c>
      <c r="W85" s="744">
        <f t="shared" si="19"/>
        <v>15.868039999999997</v>
      </c>
      <c r="X85" s="401"/>
      <c r="Y85" s="401"/>
      <c r="Z85" s="401"/>
      <c r="AA85" s="401"/>
      <c r="AB85" s="401"/>
      <c r="AC85" s="401"/>
      <c r="AD85" s="401"/>
      <c r="AE85" s="401"/>
      <c r="AF85" s="401"/>
      <c r="AG85" s="401"/>
      <c r="AH85" s="401"/>
      <c r="AI85" s="401"/>
      <c r="AJ85" s="401"/>
      <c r="AK85" s="401"/>
      <c r="AL85" s="401"/>
      <c r="AM85" s="401"/>
      <c r="AN85" s="401"/>
      <c r="AO85" s="401"/>
      <c r="AP85" s="401"/>
      <c r="AQ85" s="401"/>
      <c r="AR85" s="401"/>
      <c r="AS85" s="401"/>
      <c r="AT85" s="401"/>
      <c r="AU85" s="401"/>
      <c r="AV85" s="401"/>
      <c r="AW85" s="401"/>
      <c r="AX85" s="401"/>
      <c r="AY85" s="401"/>
      <c r="AZ85" s="401"/>
      <c r="BA85" s="401"/>
      <c r="BB85" s="401"/>
      <c r="BC85" s="401"/>
      <c r="BD85" s="401"/>
      <c r="BE85" s="401"/>
      <c r="BF85" s="401"/>
      <c r="BG85" s="401"/>
      <c r="BH85" s="401"/>
      <c r="BI85" s="401"/>
      <c r="BJ85" s="401"/>
      <c r="BK85" s="401"/>
      <c r="BL85" s="401"/>
      <c r="BM85" s="401"/>
      <c r="BN85" s="401"/>
      <c r="BO85" s="401"/>
      <c r="BP85" s="401"/>
      <c r="BQ85" s="401"/>
      <c r="BR85" s="401"/>
      <c r="BS85" s="401"/>
      <c r="BT85" s="401"/>
      <c r="BU85" s="401"/>
      <c r="BV85" s="401"/>
      <c r="BW85" s="401"/>
      <c r="BX85" s="401"/>
      <c r="BY85" s="401"/>
      <c r="BZ85" s="401"/>
      <c r="CA85" s="401"/>
      <c r="CB85" s="401"/>
      <c r="CC85" s="401"/>
      <c r="CD85" s="401"/>
      <c r="CE85" s="401"/>
      <c r="CF85" s="401"/>
      <c r="CG85" s="401"/>
      <c r="CH85" s="401"/>
      <c r="CI85" s="401"/>
      <c r="CJ85" s="401"/>
      <c r="CK85" s="401"/>
      <c r="CL85" s="401"/>
      <c r="CM85" s="401"/>
      <c r="CN85" s="401"/>
      <c r="CO85" s="401"/>
      <c r="CP85" s="401"/>
      <c r="CQ85" s="401"/>
      <c r="CR85" s="401"/>
      <c r="CS85" s="401"/>
      <c r="CT85" s="401"/>
      <c r="CU85" s="401"/>
      <c r="CV85" s="401"/>
      <c r="CW85" s="401"/>
      <c r="CX85" s="401"/>
      <c r="CY85" s="401"/>
      <c r="CZ85" s="401"/>
      <c r="DA85" s="401"/>
      <c r="DB85" s="401"/>
      <c r="DC85" s="401"/>
      <c r="DD85" s="401"/>
      <c r="DE85" s="401"/>
      <c r="DF85" s="401"/>
      <c r="DG85" s="401"/>
      <c r="DH85" s="401"/>
      <c r="DI85" s="401"/>
      <c r="DJ85" s="401"/>
      <c r="DK85" s="401"/>
      <c r="DL85" s="401"/>
      <c r="DM85" s="401"/>
      <c r="DN85" s="401"/>
      <c r="DO85" s="401"/>
      <c r="DP85" s="401"/>
      <c r="DQ85" s="401"/>
      <c r="DR85" s="401"/>
      <c r="DS85" s="401"/>
      <c r="DT85" s="401"/>
      <c r="DU85" s="401"/>
      <c r="DV85" s="401"/>
    </row>
    <row r="86" spans="1:126" ht="12.75">
      <c r="A86" s="747">
        <v>10</v>
      </c>
      <c r="B86" s="742">
        <v>17.52</v>
      </c>
      <c r="C86" s="742">
        <f t="shared" si="20"/>
        <v>5.4716060108320006</v>
      </c>
      <c r="D86" s="739">
        <v>10</v>
      </c>
      <c r="E86" s="743">
        <v>27.166</v>
      </c>
      <c r="F86" s="742">
        <f t="shared" si="14"/>
        <v>5.6139454404871199</v>
      </c>
      <c r="G86" s="739">
        <v>10</v>
      </c>
      <c r="H86" s="743">
        <v>27.5</v>
      </c>
      <c r="I86" s="741">
        <f t="shared" si="15"/>
        <v>8.6709999999999994</v>
      </c>
      <c r="J86" s="739">
        <v>10</v>
      </c>
      <c r="K86" s="743">
        <v>50</v>
      </c>
      <c r="L86" s="744">
        <f>-0.2137*K86 + 17.443</f>
        <v>6.7580000000000009</v>
      </c>
      <c r="M86" s="739">
        <v>10</v>
      </c>
      <c r="N86" s="743">
        <v>65</v>
      </c>
      <c r="O86" s="744">
        <f t="shared" si="17"/>
        <v>6.9394999999999989</v>
      </c>
      <c r="P86" s="401"/>
      <c r="Q86" s="739">
        <v>10</v>
      </c>
      <c r="R86" s="743">
        <v>9.9</v>
      </c>
      <c r="S86" s="744">
        <f t="shared" si="18"/>
        <v>8.0649419999999985</v>
      </c>
      <c r="T86" s="401"/>
      <c r="U86" s="739">
        <v>10</v>
      </c>
      <c r="V86" s="743">
        <v>9.9</v>
      </c>
      <c r="W86" s="744">
        <f t="shared" si="19"/>
        <v>13.940784999999998</v>
      </c>
      <c r="X86" s="401"/>
      <c r="Y86" s="401"/>
      <c r="Z86" s="401"/>
      <c r="AA86" s="401"/>
      <c r="AB86" s="401"/>
      <c r="AC86" s="401"/>
      <c r="AD86" s="401"/>
      <c r="AE86" s="401"/>
      <c r="AF86" s="401"/>
      <c r="AG86" s="401"/>
      <c r="AH86" s="401"/>
      <c r="AI86" s="401"/>
      <c r="AJ86" s="401"/>
      <c r="AK86" s="401"/>
      <c r="AL86" s="401"/>
      <c r="AM86" s="401"/>
      <c r="AN86" s="401"/>
      <c r="AO86" s="401"/>
      <c r="AP86" s="401"/>
      <c r="AQ86" s="401"/>
      <c r="AR86" s="401"/>
      <c r="AS86" s="401"/>
      <c r="AT86" s="401"/>
      <c r="AU86" s="401"/>
      <c r="AV86" s="401"/>
      <c r="AW86" s="401"/>
      <c r="AX86" s="401"/>
      <c r="AY86" s="401"/>
      <c r="AZ86" s="401"/>
      <c r="BA86" s="401"/>
      <c r="BB86" s="401"/>
      <c r="BC86" s="401"/>
      <c r="BD86" s="401"/>
      <c r="BE86" s="401"/>
      <c r="BF86" s="401"/>
      <c r="BG86" s="401"/>
      <c r="BH86" s="401"/>
      <c r="BI86" s="401"/>
      <c r="BJ86" s="401"/>
      <c r="BK86" s="401"/>
      <c r="BL86" s="401"/>
      <c r="BM86" s="401"/>
      <c r="BN86" s="401"/>
      <c r="BO86" s="401"/>
      <c r="BP86" s="401"/>
      <c r="BQ86" s="401"/>
      <c r="BR86" s="401"/>
      <c r="BS86" s="401"/>
      <c r="BT86" s="401"/>
      <c r="BU86" s="401"/>
      <c r="BV86" s="401"/>
      <c r="BW86" s="401"/>
      <c r="BX86" s="401"/>
      <c r="BY86" s="401"/>
      <c r="BZ86" s="401"/>
      <c r="CA86" s="401"/>
      <c r="CB86" s="401"/>
      <c r="CC86" s="401"/>
      <c r="CD86" s="401"/>
      <c r="CE86" s="401"/>
      <c r="CF86" s="401"/>
      <c r="CG86" s="401"/>
      <c r="CH86" s="401"/>
      <c r="CI86" s="401"/>
      <c r="CJ86" s="401"/>
      <c r="CK86" s="401"/>
      <c r="CL86" s="401"/>
      <c r="CM86" s="401"/>
      <c r="CN86" s="401"/>
      <c r="CO86" s="401"/>
      <c r="CP86" s="401"/>
      <c r="CQ86" s="401"/>
      <c r="CR86" s="401"/>
      <c r="CS86" s="401"/>
      <c r="CT86" s="401"/>
      <c r="CU86" s="401"/>
      <c r="CV86" s="401"/>
      <c r="CW86" s="401"/>
      <c r="CX86" s="401"/>
      <c r="CY86" s="401"/>
      <c r="CZ86" s="401"/>
      <c r="DA86" s="401"/>
      <c r="DB86" s="401"/>
      <c r="DC86" s="401"/>
      <c r="DD86" s="401"/>
      <c r="DE86" s="401"/>
      <c r="DF86" s="401"/>
      <c r="DG86" s="401"/>
      <c r="DH86" s="401"/>
      <c r="DI86" s="401"/>
      <c r="DJ86" s="401"/>
      <c r="DK86" s="401"/>
      <c r="DL86" s="401"/>
      <c r="DM86" s="401"/>
      <c r="DN86" s="401"/>
      <c r="DO86" s="401"/>
      <c r="DP86" s="401"/>
      <c r="DQ86" s="401"/>
      <c r="DR86" s="401"/>
      <c r="DS86" s="401"/>
      <c r="DT86" s="401"/>
      <c r="DU86" s="401"/>
      <c r="DV86" s="401"/>
    </row>
    <row r="87" spans="1:126" ht="12.75">
      <c r="A87" s="748">
        <v>11</v>
      </c>
      <c r="B87" s="742">
        <v>19.405000000000001</v>
      </c>
      <c r="C87" s="742">
        <f t="shared" si="20"/>
        <v>4.5558723939657497</v>
      </c>
      <c r="D87" s="739">
        <v>11</v>
      </c>
      <c r="E87" s="743">
        <v>30.256</v>
      </c>
      <c r="F87" s="742">
        <f t="shared" si="14"/>
        <v>4.3144680044467201</v>
      </c>
      <c r="G87" s="739">
        <v>11</v>
      </c>
      <c r="H87" s="743">
        <v>36</v>
      </c>
      <c r="I87" s="741">
        <f t="shared" si="15"/>
        <v>7.1273999999999988</v>
      </c>
      <c r="J87" s="739">
        <v>11</v>
      </c>
      <c r="K87" s="743">
        <v>60</v>
      </c>
      <c r="L87" s="744">
        <f>-0.2137*K87 + 17.443</f>
        <v>4.6210000000000022</v>
      </c>
      <c r="M87" s="739">
        <v>11</v>
      </c>
      <c r="N87" s="743">
        <v>71.5</v>
      </c>
      <c r="O87" s="744">
        <f t="shared" si="17"/>
        <v>4.5858500000000006</v>
      </c>
      <c r="P87" s="401"/>
      <c r="Q87" s="739">
        <v>11</v>
      </c>
      <c r="R87" s="743">
        <v>11</v>
      </c>
      <c r="S87" s="744">
        <f t="shared" si="18"/>
        <v>6.6995999999999984</v>
      </c>
      <c r="T87" s="401"/>
      <c r="U87" s="739">
        <v>11</v>
      </c>
      <c r="V87" s="743">
        <v>11</v>
      </c>
      <c r="W87" s="744">
        <f t="shared" si="19"/>
        <v>11.8405</v>
      </c>
      <c r="X87" s="401"/>
      <c r="Y87" s="401"/>
      <c r="Z87" s="401"/>
      <c r="AA87" s="401"/>
      <c r="AB87" s="401"/>
      <c r="AC87" s="401"/>
      <c r="AD87" s="401"/>
      <c r="AE87" s="401"/>
      <c r="AF87" s="401"/>
      <c r="AG87" s="401"/>
      <c r="AH87" s="401"/>
      <c r="AI87" s="401"/>
      <c r="AJ87" s="401"/>
      <c r="AK87" s="401"/>
      <c r="AL87" s="401"/>
      <c r="AM87" s="401"/>
      <c r="AN87" s="401"/>
      <c r="AO87" s="401"/>
      <c r="AP87" s="401"/>
      <c r="AQ87" s="401"/>
      <c r="AR87" s="401"/>
      <c r="AS87" s="401"/>
      <c r="AT87" s="401"/>
      <c r="AU87" s="401"/>
      <c r="AV87" s="401"/>
      <c r="AW87" s="401"/>
      <c r="AX87" s="401"/>
      <c r="AY87" s="401"/>
      <c r="AZ87" s="401"/>
      <c r="BA87" s="401"/>
      <c r="BB87" s="401"/>
      <c r="BC87" s="401"/>
      <c r="BD87" s="401"/>
      <c r="BE87" s="401"/>
      <c r="BF87" s="401"/>
      <c r="BG87" s="401"/>
      <c r="BH87" s="401"/>
      <c r="BI87" s="401"/>
      <c r="BJ87" s="401"/>
      <c r="BK87" s="401"/>
      <c r="BL87" s="401"/>
      <c r="BM87" s="401"/>
      <c r="BN87" s="401"/>
      <c r="BO87" s="401"/>
      <c r="BP87" s="401"/>
      <c r="BQ87" s="401"/>
      <c r="BR87" s="401"/>
      <c r="BS87" s="401"/>
      <c r="BT87" s="401"/>
      <c r="BU87" s="401"/>
      <c r="BV87" s="401"/>
      <c r="BW87" s="401"/>
      <c r="BX87" s="401"/>
      <c r="BY87" s="401"/>
      <c r="BZ87" s="401"/>
      <c r="CA87" s="401"/>
      <c r="CB87" s="401"/>
      <c r="CC87" s="401"/>
      <c r="CD87" s="401"/>
      <c r="CE87" s="401"/>
      <c r="CF87" s="401"/>
      <c r="CG87" s="401"/>
      <c r="CH87" s="401"/>
      <c r="CI87" s="401"/>
      <c r="CJ87" s="401"/>
      <c r="CK87" s="401"/>
      <c r="CL87" s="401"/>
      <c r="CM87" s="401"/>
      <c r="CN87" s="401"/>
      <c r="CO87" s="401"/>
      <c r="CP87" s="401"/>
      <c r="CQ87" s="401"/>
      <c r="CR87" s="401"/>
      <c r="CS87" s="401"/>
      <c r="CT87" s="401"/>
      <c r="CU87" s="401"/>
      <c r="CV87" s="401"/>
      <c r="CW87" s="401"/>
      <c r="CX87" s="401"/>
      <c r="CY87" s="401"/>
      <c r="CZ87" s="401"/>
      <c r="DA87" s="401"/>
      <c r="DB87" s="401"/>
      <c r="DC87" s="401"/>
      <c r="DD87" s="401"/>
      <c r="DE87" s="401"/>
      <c r="DF87" s="401"/>
      <c r="DG87" s="401"/>
      <c r="DH87" s="401"/>
      <c r="DI87" s="401"/>
      <c r="DJ87" s="401"/>
      <c r="DK87" s="401"/>
      <c r="DL87" s="401"/>
      <c r="DM87" s="401"/>
      <c r="DN87" s="401"/>
      <c r="DO87" s="401"/>
      <c r="DP87" s="401"/>
      <c r="DQ87" s="401"/>
      <c r="DR87" s="401"/>
      <c r="DS87" s="401"/>
      <c r="DT87" s="401"/>
      <c r="DU87" s="401"/>
      <c r="DV87" s="401"/>
    </row>
    <row r="88" spans="1:126" ht="12.75">
      <c r="A88" s="746">
        <v>12</v>
      </c>
      <c r="B88" s="742">
        <v>21.274999999999999</v>
      </c>
      <c r="C88" s="742">
        <f t="shared" si="20"/>
        <v>3.6090571998937504</v>
      </c>
      <c r="D88" s="739">
        <v>12</v>
      </c>
      <c r="E88" s="743">
        <v>34</v>
      </c>
      <c r="F88" s="742">
        <f t="shared" si="14"/>
        <v>2.6854823999999997</v>
      </c>
      <c r="G88" s="739">
        <v>12</v>
      </c>
      <c r="H88" s="743">
        <v>41.6</v>
      </c>
      <c r="I88" s="741">
        <f t="shared" si="15"/>
        <v>6.1104399999999988</v>
      </c>
      <c r="J88" s="739">
        <v>12</v>
      </c>
      <c r="K88" s="743">
        <f>K87</f>
        <v>60</v>
      </c>
      <c r="L88" s="744">
        <f>-0.2137*K88 + 17.443</f>
        <v>4.6210000000000022</v>
      </c>
      <c r="M88" s="739">
        <v>12</v>
      </c>
      <c r="N88" s="743">
        <f>N87</f>
        <v>71.5</v>
      </c>
      <c r="O88" s="744">
        <f t="shared" si="17"/>
        <v>4.5858500000000006</v>
      </c>
      <c r="P88" s="401"/>
      <c r="Q88" s="739">
        <v>12</v>
      </c>
      <c r="R88" s="743">
        <v>12.1</v>
      </c>
      <c r="S88" s="744">
        <f t="shared" si="18"/>
        <v>5.2815019999999997</v>
      </c>
      <c r="T88" s="401"/>
      <c r="U88" s="739">
        <v>12</v>
      </c>
      <c r="V88" s="743">
        <v>12.1</v>
      </c>
      <c r="W88" s="744">
        <f t="shared" si="19"/>
        <v>9.5671850000000003</v>
      </c>
      <c r="X88" s="401"/>
      <c r="Y88" s="401"/>
      <c r="Z88" s="401"/>
      <c r="AA88" s="401"/>
      <c r="AB88" s="401"/>
      <c r="AC88" s="401"/>
      <c r="AD88" s="401"/>
      <c r="AE88" s="401"/>
      <c r="AF88" s="401"/>
      <c r="AG88" s="401"/>
      <c r="AH88" s="401"/>
      <c r="AI88" s="401"/>
      <c r="AJ88" s="401"/>
      <c r="AK88" s="401"/>
      <c r="AL88" s="401"/>
      <c r="AM88" s="401"/>
      <c r="AN88" s="401"/>
      <c r="AO88" s="401"/>
      <c r="AP88" s="401"/>
      <c r="AQ88" s="401"/>
      <c r="AR88" s="401"/>
      <c r="AS88" s="401"/>
      <c r="AT88" s="401"/>
      <c r="AU88" s="401"/>
      <c r="AV88" s="401"/>
      <c r="AW88" s="401"/>
      <c r="AX88" s="401"/>
      <c r="AY88" s="401"/>
      <c r="AZ88" s="401"/>
      <c r="BA88" s="401"/>
      <c r="BB88" s="401"/>
      <c r="BC88" s="401"/>
      <c r="BD88" s="401"/>
      <c r="BE88" s="401"/>
      <c r="BF88" s="401"/>
      <c r="BG88" s="401"/>
      <c r="BH88" s="401"/>
      <c r="BI88" s="401"/>
      <c r="BJ88" s="401"/>
      <c r="BK88" s="401"/>
      <c r="BL88" s="401"/>
      <c r="BM88" s="401"/>
      <c r="BN88" s="401"/>
      <c r="BO88" s="401"/>
      <c r="BP88" s="401"/>
      <c r="BQ88" s="401"/>
      <c r="BR88" s="401"/>
      <c r="BS88" s="401"/>
      <c r="BT88" s="401"/>
      <c r="BU88" s="401"/>
      <c r="BV88" s="401"/>
      <c r="BW88" s="401"/>
      <c r="BX88" s="401"/>
      <c r="BY88" s="401"/>
      <c r="BZ88" s="401"/>
      <c r="CA88" s="401"/>
      <c r="CB88" s="401"/>
      <c r="CC88" s="401"/>
      <c r="CD88" s="401"/>
      <c r="CE88" s="401"/>
      <c r="CF88" s="401"/>
      <c r="CG88" s="401"/>
      <c r="CH88" s="401"/>
      <c r="CI88" s="401"/>
      <c r="CJ88" s="401"/>
      <c r="CK88" s="401"/>
      <c r="CL88" s="401"/>
      <c r="CM88" s="401"/>
      <c r="CN88" s="401"/>
      <c r="CO88" s="401"/>
      <c r="CP88" s="401"/>
      <c r="CQ88" s="401"/>
      <c r="CR88" s="401"/>
      <c r="CS88" s="401"/>
      <c r="CT88" s="401"/>
      <c r="CU88" s="401"/>
      <c r="CV88" s="401"/>
      <c r="CW88" s="401"/>
      <c r="CX88" s="401"/>
      <c r="CY88" s="401"/>
      <c r="CZ88" s="401"/>
      <c r="DA88" s="401"/>
      <c r="DB88" s="401"/>
      <c r="DC88" s="401"/>
      <c r="DD88" s="401"/>
      <c r="DE88" s="401"/>
      <c r="DF88" s="401"/>
      <c r="DG88" s="401"/>
      <c r="DH88" s="401"/>
      <c r="DI88" s="401"/>
      <c r="DJ88" s="401"/>
      <c r="DK88" s="401"/>
      <c r="DL88" s="401"/>
      <c r="DM88" s="401"/>
      <c r="DN88" s="401"/>
      <c r="DO88" s="401"/>
      <c r="DP88" s="401"/>
      <c r="DQ88" s="401"/>
      <c r="DR88" s="401"/>
      <c r="DS88" s="401"/>
      <c r="DT88" s="401"/>
      <c r="DU88" s="401"/>
      <c r="DV88" s="401"/>
    </row>
    <row r="89" spans="1:126" ht="12.75">
      <c r="A89" s="746">
        <v>13</v>
      </c>
      <c r="B89" s="742">
        <v>23.2</v>
      </c>
      <c r="C89" s="742">
        <v>2.6</v>
      </c>
      <c r="D89" s="739">
        <v>13</v>
      </c>
      <c r="E89" s="742">
        <v>34</v>
      </c>
      <c r="F89" s="742">
        <f t="shared" si="14"/>
        <v>2.6854823999999997</v>
      </c>
      <c r="G89" s="739">
        <v>13</v>
      </c>
      <c r="H89" s="742">
        <v>46</v>
      </c>
      <c r="I89" s="741">
        <f t="shared" si="15"/>
        <v>5.311399999999999</v>
      </c>
      <c r="J89" s="739">
        <v>13</v>
      </c>
      <c r="K89" s="742">
        <f>K88</f>
        <v>60</v>
      </c>
      <c r="L89" s="744">
        <f>-0.2137*K89 + 17.443</f>
        <v>4.6210000000000022</v>
      </c>
      <c r="M89" s="739">
        <v>13</v>
      </c>
      <c r="N89" s="742">
        <f>N88</f>
        <v>71.5</v>
      </c>
      <c r="O89" s="744">
        <f t="shared" si="17"/>
        <v>4.5858500000000006</v>
      </c>
      <c r="P89" s="401"/>
      <c r="Q89" s="739">
        <v>13</v>
      </c>
      <c r="R89" s="742">
        <v>13.2</v>
      </c>
      <c r="S89" s="744">
        <f t="shared" si="18"/>
        <v>3.8106480000000005</v>
      </c>
      <c r="T89" s="401"/>
      <c r="U89" s="739">
        <v>13</v>
      </c>
      <c r="V89" s="742">
        <v>13.2</v>
      </c>
      <c r="W89" s="744">
        <f t="shared" si="19"/>
        <v>7.1208400000000012</v>
      </c>
      <c r="X89" s="401"/>
      <c r="Y89" s="401"/>
      <c r="Z89" s="401"/>
      <c r="AA89" s="401"/>
      <c r="AB89" s="401"/>
      <c r="AC89" s="401"/>
      <c r="AD89" s="401"/>
      <c r="AE89" s="401"/>
      <c r="AF89" s="401"/>
      <c r="AG89" s="401"/>
      <c r="AH89" s="401"/>
      <c r="AI89" s="401"/>
      <c r="AJ89" s="401"/>
      <c r="AK89" s="401"/>
      <c r="AL89" s="401"/>
      <c r="AM89" s="401"/>
      <c r="AN89" s="401"/>
      <c r="AO89" s="401"/>
      <c r="AP89" s="401"/>
      <c r="AQ89" s="401"/>
      <c r="AR89" s="401"/>
      <c r="AS89" s="401"/>
      <c r="AT89" s="401"/>
      <c r="AU89" s="401"/>
      <c r="AV89" s="401"/>
      <c r="AW89" s="401"/>
      <c r="AX89" s="401"/>
      <c r="AY89" s="401"/>
      <c r="AZ89" s="401"/>
      <c r="BA89" s="401"/>
      <c r="BB89" s="401"/>
      <c r="BC89" s="401"/>
      <c r="BD89" s="401"/>
      <c r="BE89" s="401"/>
      <c r="BF89" s="401"/>
      <c r="BG89" s="401"/>
      <c r="BH89" s="401"/>
      <c r="BI89" s="401"/>
      <c r="BJ89" s="401"/>
      <c r="BK89" s="401"/>
      <c r="BL89" s="401"/>
      <c r="BM89" s="401"/>
      <c r="BN89" s="401"/>
      <c r="BO89" s="401"/>
      <c r="BP89" s="401"/>
      <c r="BQ89" s="401"/>
      <c r="BR89" s="401"/>
      <c r="BS89" s="401"/>
      <c r="BT89" s="401"/>
      <c r="BU89" s="401"/>
      <c r="BV89" s="401"/>
      <c r="BW89" s="401"/>
      <c r="BX89" s="401"/>
      <c r="BY89" s="401"/>
      <c r="BZ89" s="401"/>
      <c r="CA89" s="401"/>
      <c r="CB89" s="401"/>
      <c r="CC89" s="401"/>
      <c r="CD89" s="401"/>
      <c r="CE89" s="401"/>
      <c r="CF89" s="401"/>
      <c r="CG89" s="401"/>
      <c r="CH89" s="401"/>
      <c r="CI89" s="401"/>
      <c r="CJ89" s="401"/>
      <c r="CK89" s="401"/>
      <c r="CL89" s="401"/>
      <c r="CM89" s="401"/>
      <c r="CN89" s="401"/>
      <c r="CO89" s="401"/>
      <c r="CP89" s="401"/>
      <c r="CQ89" s="401"/>
      <c r="CR89" s="401"/>
      <c r="CS89" s="401"/>
      <c r="CT89" s="401"/>
      <c r="CU89" s="401"/>
      <c r="CV89" s="401"/>
      <c r="CW89" s="401"/>
      <c r="CX89" s="401"/>
      <c r="CY89" s="401"/>
      <c r="CZ89" s="401"/>
      <c r="DA89" s="401"/>
      <c r="DB89" s="401"/>
      <c r="DC89" s="401"/>
      <c r="DD89" s="401"/>
      <c r="DE89" s="401"/>
      <c r="DF89" s="401"/>
      <c r="DG89" s="401"/>
      <c r="DH89" s="401"/>
      <c r="DI89" s="401"/>
      <c r="DJ89" s="401"/>
      <c r="DK89" s="401"/>
      <c r="DL89" s="401"/>
      <c r="DM89" s="401"/>
      <c r="DN89" s="401"/>
      <c r="DO89" s="401"/>
      <c r="DP89" s="401"/>
      <c r="DQ89" s="401"/>
      <c r="DR89" s="401"/>
      <c r="DS89" s="401"/>
      <c r="DT89" s="401"/>
      <c r="DU89" s="401"/>
      <c r="DV89" s="401"/>
    </row>
    <row r="90" spans="1:126" ht="12.75">
      <c r="A90" s="719">
        <v>14</v>
      </c>
      <c r="B90" s="749">
        <v>24</v>
      </c>
      <c r="C90" s="749">
        <v>2.1</v>
      </c>
      <c r="D90" s="739">
        <v>14</v>
      </c>
      <c r="E90" s="749">
        <v>34</v>
      </c>
      <c r="F90" s="749">
        <f>F89</f>
        <v>2.6854823999999997</v>
      </c>
      <c r="G90" s="401">
        <v>14</v>
      </c>
      <c r="H90" s="749">
        <v>55</v>
      </c>
      <c r="I90" s="741">
        <f t="shared" si="15"/>
        <v>3.6769999999999978</v>
      </c>
      <c r="J90" s="401">
        <v>14</v>
      </c>
      <c r="K90" s="749">
        <f>K89</f>
        <v>60</v>
      </c>
      <c r="L90" s="744">
        <f>-0.2137*K90 + 17.443</f>
        <v>4.6210000000000022</v>
      </c>
      <c r="M90" s="401">
        <v>14</v>
      </c>
      <c r="N90" s="749">
        <f>N89</f>
        <v>71.5</v>
      </c>
      <c r="O90" s="750">
        <f t="shared" si="17"/>
        <v>4.5858500000000006</v>
      </c>
      <c r="P90" s="401"/>
      <c r="Q90" s="401">
        <v>14</v>
      </c>
      <c r="R90" s="749">
        <v>14</v>
      </c>
      <c r="S90" s="744">
        <f t="shared" si="18"/>
        <v>2.7077999999999989</v>
      </c>
      <c r="T90" s="401"/>
      <c r="U90" s="401">
        <v>14</v>
      </c>
      <c r="V90" s="749">
        <v>14.7</v>
      </c>
      <c r="W90" s="744">
        <f t="shared" si="19"/>
        <v>3.5060650000000031</v>
      </c>
      <c r="X90" s="401"/>
      <c r="Y90" s="401"/>
      <c r="Z90" s="401"/>
      <c r="AA90" s="401"/>
      <c r="AB90" s="401"/>
      <c r="AC90" s="401"/>
      <c r="AD90" s="401"/>
      <c r="AE90" s="401"/>
      <c r="AF90" s="401"/>
      <c r="AG90" s="401"/>
      <c r="AH90" s="401"/>
      <c r="AI90" s="401"/>
      <c r="AJ90" s="401"/>
      <c r="AK90" s="401"/>
      <c r="AL90" s="401"/>
      <c r="AM90" s="401"/>
      <c r="AN90" s="401"/>
      <c r="AO90" s="401"/>
      <c r="AP90" s="401"/>
      <c r="AQ90" s="401"/>
      <c r="AR90" s="401"/>
      <c r="AS90" s="401"/>
      <c r="AT90" s="401"/>
      <c r="AU90" s="401"/>
      <c r="AV90" s="401"/>
      <c r="AW90" s="401"/>
      <c r="AX90" s="401"/>
      <c r="AY90" s="401"/>
      <c r="AZ90" s="401"/>
      <c r="BA90" s="401"/>
      <c r="BB90" s="401"/>
      <c r="BC90" s="401"/>
      <c r="BD90" s="401"/>
      <c r="BE90" s="401"/>
      <c r="BF90" s="401"/>
      <c r="BG90" s="401"/>
      <c r="BH90" s="401"/>
      <c r="BI90" s="401"/>
      <c r="BJ90" s="401"/>
      <c r="BK90" s="401"/>
      <c r="BL90" s="401"/>
      <c r="BM90" s="401"/>
      <c r="BN90" s="401"/>
      <c r="BO90" s="401"/>
      <c r="BP90" s="401"/>
      <c r="BQ90" s="401"/>
      <c r="BR90" s="401"/>
      <c r="BS90" s="401"/>
      <c r="BT90" s="401"/>
      <c r="BU90" s="401"/>
      <c r="BV90" s="401"/>
      <c r="BW90" s="401"/>
      <c r="BX90" s="401"/>
      <c r="BY90" s="401"/>
      <c r="BZ90" s="401"/>
      <c r="CA90" s="401"/>
      <c r="CB90" s="401"/>
      <c r="CC90" s="401"/>
      <c r="CD90" s="401"/>
      <c r="CE90" s="401"/>
      <c r="CF90" s="401"/>
      <c r="CG90" s="401"/>
      <c r="CH90" s="401"/>
      <c r="CI90" s="401"/>
      <c r="CJ90" s="401"/>
      <c r="CK90" s="401"/>
      <c r="CL90" s="401"/>
      <c r="CM90" s="401"/>
      <c r="CN90" s="401"/>
      <c r="CO90" s="401"/>
      <c r="CP90" s="401"/>
      <c r="CQ90" s="401"/>
      <c r="CR90" s="401"/>
      <c r="CS90" s="401"/>
      <c r="CT90" s="401"/>
      <c r="CU90" s="401"/>
      <c r="CV90" s="401"/>
      <c r="CW90" s="401"/>
      <c r="CX90" s="401"/>
      <c r="CY90" s="401"/>
      <c r="CZ90" s="401"/>
      <c r="DA90" s="401"/>
      <c r="DB90" s="401"/>
      <c r="DC90" s="401"/>
      <c r="DD90" s="401"/>
      <c r="DE90" s="401"/>
      <c r="DF90" s="401"/>
      <c r="DG90" s="401"/>
      <c r="DH90" s="401"/>
      <c r="DI90" s="401"/>
      <c r="DJ90" s="401"/>
      <c r="DK90" s="401"/>
      <c r="DL90" s="401"/>
      <c r="DM90" s="401"/>
      <c r="DN90" s="401"/>
      <c r="DO90" s="401"/>
      <c r="DP90" s="401"/>
      <c r="DQ90" s="401"/>
      <c r="DR90" s="401"/>
      <c r="DS90" s="401"/>
      <c r="DT90" s="401"/>
      <c r="DU90" s="401"/>
    </row>
    <row r="91" spans="1:126" ht="12.75">
      <c r="A91" s="719"/>
      <c r="B91" s="719"/>
      <c r="C91" s="719"/>
      <c r="D91" s="720"/>
      <c r="E91" s="720"/>
      <c r="F91" s="401"/>
      <c r="G91" s="401"/>
      <c r="H91" s="719"/>
      <c r="I91" s="719"/>
      <c r="J91" s="401"/>
      <c r="K91" s="401"/>
      <c r="L91" s="401"/>
      <c r="M91" s="401"/>
      <c r="N91" s="401"/>
      <c r="O91" s="401"/>
      <c r="P91" s="401"/>
      <c r="Q91" s="401"/>
      <c r="R91" s="401"/>
      <c r="S91" s="401"/>
      <c r="T91" s="401"/>
      <c r="U91" s="401"/>
      <c r="V91" s="401"/>
      <c r="W91" s="401"/>
      <c r="X91" s="401"/>
      <c r="Y91" s="401"/>
      <c r="Z91" s="401"/>
      <c r="AA91" s="401"/>
      <c r="AB91" s="401"/>
      <c r="AC91" s="401"/>
      <c r="AD91" s="401"/>
      <c r="AE91" s="401"/>
      <c r="AF91" s="401"/>
      <c r="AG91" s="401"/>
      <c r="AH91" s="401"/>
      <c r="AI91" s="401"/>
      <c r="AJ91" s="401"/>
      <c r="AK91" s="401"/>
      <c r="AL91" s="401"/>
      <c r="AM91" s="401"/>
      <c r="AN91" s="401"/>
      <c r="AO91" s="401"/>
      <c r="AP91" s="401"/>
      <c r="AQ91" s="401"/>
      <c r="AR91" s="401"/>
      <c r="AS91" s="401"/>
      <c r="AT91" s="401"/>
      <c r="AU91" s="401"/>
      <c r="AV91" s="401"/>
      <c r="AW91" s="401"/>
      <c r="AX91" s="401"/>
      <c r="AY91" s="401"/>
      <c r="AZ91" s="401"/>
      <c r="BA91" s="401"/>
      <c r="BB91" s="401"/>
      <c r="BC91" s="401"/>
      <c r="BD91" s="401"/>
      <c r="BE91" s="401"/>
      <c r="BF91" s="401"/>
      <c r="BG91" s="401"/>
      <c r="BH91" s="401"/>
      <c r="BI91" s="401"/>
      <c r="BJ91" s="401"/>
      <c r="BK91" s="401"/>
      <c r="BL91" s="401"/>
      <c r="BM91" s="401"/>
      <c r="BN91" s="401"/>
      <c r="BO91" s="401"/>
      <c r="BP91" s="401"/>
      <c r="BQ91" s="401"/>
      <c r="BR91" s="401"/>
      <c r="BS91" s="401"/>
      <c r="BT91" s="401"/>
      <c r="BU91" s="401"/>
      <c r="BV91" s="401"/>
      <c r="BW91" s="401"/>
      <c r="BX91" s="401"/>
      <c r="BY91" s="401"/>
      <c r="BZ91" s="401"/>
      <c r="CA91" s="401"/>
      <c r="CB91" s="401"/>
      <c r="CC91" s="401"/>
      <c r="CD91" s="401"/>
      <c r="CE91" s="401"/>
      <c r="CF91" s="401"/>
      <c r="CG91" s="401"/>
      <c r="CH91" s="401"/>
      <c r="CI91" s="401"/>
      <c r="CJ91" s="401"/>
      <c r="CK91" s="401"/>
      <c r="CL91" s="401"/>
      <c r="CM91" s="401"/>
      <c r="CN91" s="401"/>
      <c r="CO91" s="401"/>
      <c r="CP91" s="401"/>
      <c r="CQ91" s="401"/>
      <c r="CR91" s="401"/>
      <c r="CS91" s="401"/>
      <c r="CT91" s="401"/>
      <c r="CU91" s="401"/>
      <c r="CV91" s="401"/>
      <c r="CW91" s="401"/>
      <c r="CX91" s="401"/>
      <c r="CY91" s="401"/>
      <c r="CZ91" s="401"/>
      <c r="DA91" s="401"/>
      <c r="DB91" s="401"/>
      <c r="DC91" s="401"/>
      <c r="DD91" s="401"/>
      <c r="DE91" s="401"/>
      <c r="DF91" s="401"/>
      <c r="DG91" s="401"/>
      <c r="DH91" s="401"/>
      <c r="DI91" s="401"/>
      <c r="DJ91" s="401"/>
      <c r="DK91" s="401"/>
      <c r="DL91" s="401"/>
      <c r="DM91" s="401"/>
      <c r="DN91" s="401"/>
      <c r="DO91" s="401"/>
      <c r="DP91" s="401"/>
      <c r="DQ91" s="401"/>
      <c r="DR91" s="401"/>
      <c r="DS91" s="401"/>
      <c r="DT91" s="401"/>
      <c r="DU91" s="401"/>
    </row>
    <row r="92" spans="1:126" ht="12.75">
      <c r="A92" s="401"/>
      <c r="B92" s="401"/>
      <c r="C92" s="719"/>
      <c r="D92" s="401"/>
      <c r="E92" s="751"/>
    </row>
    <row r="93" spans="1:126" ht="12.75">
      <c r="A93" s="401"/>
      <c r="B93" s="401"/>
      <c r="C93" s="752"/>
      <c r="D93" s="401"/>
      <c r="E93" s="751"/>
    </row>
    <row r="94" spans="1:126">
      <c r="A94" s="401"/>
      <c r="B94" s="400" t="s">
        <v>554</v>
      </c>
      <c r="C94" s="753">
        <f>1*2230.35/2050.31</f>
        <v>1.0878111114904576</v>
      </c>
      <c r="D94" s="401"/>
      <c r="E94" s="751"/>
    </row>
    <row r="96" spans="1:126">
      <c r="A96" s="400" t="s">
        <v>77</v>
      </c>
      <c r="B96" s="400" t="s">
        <v>76</v>
      </c>
      <c r="E96" s="400" t="s">
        <v>941</v>
      </c>
      <c r="F96" s="754" t="s">
        <v>77</v>
      </c>
      <c r="G96" s="755" t="s">
        <v>131</v>
      </c>
      <c r="H96" s="756" t="s">
        <v>184</v>
      </c>
      <c r="I96" s="757" t="s">
        <v>124</v>
      </c>
      <c r="K96" s="758" t="s">
        <v>185</v>
      </c>
      <c r="L96" s="758" t="s">
        <v>124</v>
      </c>
      <c r="M96" s="759"/>
      <c r="N96" s="759"/>
      <c r="O96" s="759"/>
      <c r="P96" s="760"/>
      <c r="R96" s="758" t="s">
        <v>186</v>
      </c>
      <c r="S96" s="758" t="s">
        <v>124</v>
      </c>
      <c r="T96" s="759"/>
      <c r="U96" s="759"/>
      <c r="V96" s="759"/>
      <c r="W96" s="760"/>
      <c r="Z96" s="944" t="s">
        <v>1</v>
      </c>
      <c r="AA96" s="945"/>
    </row>
    <row r="97" spans="1:27">
      <c r="A97" s="400" t="s">
        <v>78</v>
      </c>
      <c r="B97" s="761" t="s">
        <v>84</v>
      </c>
      <c r="C97" s="736">
        <v>3703.11</v>
      </c>
      <c r="D97" s="400" t="s">
        <v>93</v>
      </c>
      <c r="E97" s="736">
        <v>3351.23</v>
      </c>
      <c r="F97" s="762" t="s">
        <v>43</v>
      </c>
      <c r="G97" s="763">
        <v>20</v>
      </c>
      <c r="H97" s="764">
        <f t="shared" ref="H97:H128" si="21">IF(G97="nv","n.v",(4*G97/(PI()*(dn/100)^2)/10))</f>
        <v>3.9788735772973829</v>
      </c>
      <c r="I97" s="765">
        <v>180</v>
      </c>
      <c r="K97" s="758" t="s">
        <v>77</v>
      </c>
      <c r="L97" s="766">
        <v>180</v>
      </c>
      <c r="M97" s="767">
        <v>250</v>
      </c>
      <c r="N97" s="767">
        <v>320</v>
      </c>
      <c r="O97" s="767" t="s">
        <v>496</v>
      </c>
      <c r="P97" s="768">
        <v>700</v>
      </c>
      <c r="R97" s="758" t="s">
        <v>77</v>
      </c>
      <c r="S97" s="766">
        <v>180</v>
      </c>
      <c r="T97" s="767">
        <v>250</v>
      </c>
      <c r="U97" s="767">
        <v>320</v>
      </c>
      <c r="V97" s="767" t="s">
        <v>496</v>
      </c>
      <c r="W97" s="768">
        <v>700</v>
      </c>
      <c r="Y97" s="769" t="s">
        <v>685</v>
      </c>
      <c r="Z97" s="770" t="s">
        <v>686</v>
      </c>
      <c r="AA97" s="770" t="s">
        <v>684</v>
      </c>
    </row>
    <row r="98" spans="1:27">
      <c r="A98" s="400" t="s">
        <v>79</v>
      </c>
      <c r="B98" s="761" t="s">
        <v>85</v>
      </c>
      <c r="C98" s="736">
        <v>3703.11</v>
      </c>
      <c r="D98" s="400" t="s">
        <v>94</v>
      </c>
      <c r="E98" s="736">
        <v>3351.23</v>
      </c>
      <c r="F98" s="771" t="s">
        <v>43</v>
      </c>
      <c r="G98" s="772" t="s">
        <v>125</v>
      </c>
      <c r="H98" s="773" t="str">
        <f t="shared" si="21"/>
        <v>n.v</v>
      </c>
      <c r="I98" s="774">
        <v>250</v>
      </c>
      <c r="K98" s="766" t="s">
        <v>43</v>
      </c>
      <c r="L98" s="775">
        <v>20</v>
      </c>
      <c r="M98" s="776">
        <v>0</v>
      </c>
      <c r="N98" s="776">
        <v>0</v>
      </c>
      <c r="O98" s="776">
        <v>30</v>
      </c>
      <c r="P98" s="777">
        <v>0</v>
      </c>
      <c r="R98" s="766" t="s">
        <v>43</v>
      </c>
      <c r="S98" s="778">
        <v>10.185916357881302</v>
      </c>
      <c r="T98" s="779">
        <v>0</v>
      </c>
      <c r="U98" s="779">
        <v>0</v>
      </c>
      <c r="V98" s="779">
        <v>15.278874536821954</v>
      </c>
      <c r="W98" s="780">
        <v>0</v>
      </c>
      <c r="Y98" s="781" t="s">
        <v>682</v>
      </c>
      <c r="Z98" s="586">
        <v>0.85</v>
      </c>
      <c r="AA98" s="586">
        <v>0.75</v>
      </c>
    </row>
    <row r="99" spans="1:27">
      <c r="A99" s="400" t="s">
        <v>80</v>
      </c>
      <c r="B99" s="761" t="s">
        <v>86</v>
      </c>
      <c r="C99" s="736">
        <v>4028.02</v>
      </c>
      <c r="D99" s="400" t="s">
        <v>95</v>
      </c>
      <c r="E99" s="736">
        <v>3645.27</v>
      </c>
      <c r="F99" s="771" t="s">
        <v>43</v>
      </c>
      <c r="G99" s="772" t="s">
        <v>125</v>
      </c>
      <c r="H99" s="773" t="str">
        <f t="shared" si="21"/>
        <v>n.v</v>
      </c>
      <c r="I99" s="774">
        <v>320</v>
      </c>
      <c r="K99" s="782" t="s">
        <v>44</v>
      </c>
      <c r="L99" s="783">
        <v>30</v>
      </c>
      <c r="M99" s="784">
        <v>44</v>
      </c>
      <c r="N99" s="784">
        <v>0</v>
      </c>
      <c r="O99" s="784">
        <v>62</v>
      </c>
      <c r="P99" s="785">
        <v>0</v>
      </c>
      <c r="R99" s="782" t="s">
        <v>44</v>
      </c>
      <c r="S99" s="786">
        <v>15.278874536821954</v>
      </c>
      <c r="T99" s="787">
        <v>22.409015987338865</v>
      </c>
      <c r="U99" s="787">
        <v>0</v>
      </c>
      <c r="V99" s="787">
        <v>31.576340709432039</v>
      </c>
      <c r="W99" s="788">
        <v>0</v>
      </c>
      <c r="Y99" s="781" t="s">
        <v>683</v>
      </c>
      <c r="Z99" s="700">
        <v>0.85</v>
      </c>
      <c r="AA99" s="700">
        <v>0.85</v>
      </c>
    </row>
    <row r="100" spans="1:27">
      <c r="A100" s="400" t="s">
        <v>81</v>
      </c>
      <c r="B100" s="761" t="s">
        <v>87</v>
      </c>
      <c r="C100" s="736">
        <v>3943.82</v>
      </c>
      <c r="D100" s="400" t="s">
        <v>96</v>
      </c>
      <c r="E100" s="736">
        <v>3569.07</v>
      </c>
      <c r="F100" s="789" t="s">
        <v>43</v>
      </c>
      <c r="G100" s="790">
        <v>30</v>
      </c>
      <c r="H100" s="791">
        <f t="shared" si="21"/>
        <v>5.968310365946075</v>
      </c>
      <c r="I100" s="792" t="s">
        <v>496</v>
      </c>
      <c r="K100" s="782" t="s">
        <v>45</v>
      </c>
      <c r="L100" s="783">
        <v>30</v>
      </c>
      <c r="M100" s="784">
        <v>44</v>
      </c>
      <c r="N100" s="784">
        <v>0</v>
      </c>
      <c r="O100" s="784">
        <v>62</v>
      </c>
      <c r="P100" s="785">
        <v>0</v>
      </c>
      <c r="R100" s="782" t="s">
        <v>45</v>
      </c>
      <c r="S100" s="786">
        <v>15.278874536821954</v>
      </c>
      <c r="T100" s="787">
        <v>22.409015987338865</v>
      </c>
      <c r="U100" s="787">
        <v>0</v>
      </c>
      <c r="V100" s="787">
        <v>31.576340709432039</v>
      </c>
      <c r="W100" s="788">
        <v>0</v>
      </c>
    </row>
    <row r="101" spans="1:27">
      <c r="A101" s="400" t="s">
        <v>82</v>
      </c>
      <c r="B101" s="761" t="s">
        <v>88</v>
      </c>
      <c r="C101" s="736">
        <v>4133.79</v>
      </c>
      <c r="D101" s="400" t="s">
        <v>97</v>
      </c>
      <c r="E101" s="736">
        <v>3740.99</v>
      </c>
      <c r="F101" s="762" t="s">
        <v>44</v>
      </c>
      <c r="G101" s="763">
        <v>30</v>
      </c>
      <c r="H101" s="793">
        <f t="shared" si="21"/>
        <v>5.968310365946075</v>
      </c>
      <c r="I101" s="765">
        <v>180</v>
      </c>
      <c r="K101" s="782" t="s">
        <v>133</v>
      </c>
      <c r="L101" s="783">
        <v>0</v>
      </c>
      <c r="M101" s="784">
        <v>38</v>
      </c>
      <c r="N101" s="784">
        <v>0</v>
      </c>
      <c r="O101" s="784">
        <v>58</v>
      </c>
      <c r="P101" s="785">
        <v>0</v>
      </c>
      <c r="R101" s="782" t="s">
        <v>133</v>
      </c>
      <c r="S101" s="786">
        <v>0</v>
      </c>
      <c r="T101" s="787">
        <v>19.353241079974474</v>
      </c>
      <c r="U101" s="787">
        <v>0</v>
      </c>
      <c r="V101" s="787">
        <v>29.539157437855778</v>
      </c>
      <c r="W101" s="788">
        <v>0</v>
      </c>
      <c r="Y101" s="787"/>
    </row>
    <row r="102" spans="1:27">
      <c r="A102" s="401" t="s">
        <v>83</v>
      </c>
      <c r="B102" s="761" t="s">
        <v>89</v>
      </c>
      <c r="C102" s="736">
        <v>4002.54</v>
      </c>
      <c r="D102" s="401" t="s">
        <v>98</v>
      </c>
      <c r="E102" s="736">
        <v>3622.21</v>
      </c>
      <c r="F102" s="794" t="s">
        <v>44</v>
      </c>
      <c r="G102" s="553">
        <v>44</v>
      </c>
      <c r="H102" s="795">
        <f t="shared" si="21"/>
        <v>8.753521870054243</v>
      </c>
      <c r="I102" s="796">
        <v>250</v>
      </c>
      <c r="K102" s="782" t="s">
        <v>136</v>
      </c>
      <c r="L102" s="783">
        <v>0</v>
      </c>
      <c r="M102" s="784">
        <v>113</v>
      </c>
      <c r="N102" s="784">
        <v>113</v>
      </c>
      <c r="O102" s="784">
        <v>133</v>
      </c>
      <c r="P102" s="785">
        <v>0</v>
      </c>
      <c r="R102" s="782" t="s">
        <v>136</v>
      </c>
      <c r="S102" s="786">
        <v>0</v>
      </c>
      <c r="T102" s="787">
        <v>57.550427422029358</v>
      </c>
      <c r="U102" s="787">
        <v>57.550427422029358</v>
      </c>
      <c r="V102" s="787">
        <v>67.736343779910655</v>
      </c>
      <c r="W102" s="788">
        <v>0</v>
      </c>
    </row>
    <row r="103" spans="1:27">
      <c r="A103" s="400" t="s">
        <v>147</v>
      </c>
      <c r="B103" s="761" t="s">
        <v>163</v>
      </c>
      <c r="C103" s="736">
        <v>5858.88</v>
      </c>
      <c r="D103" s="400" t="s">
        <v>168</v>
      </c>
      <c r="E103" s="736">
        <v>5302.15</v>
      </c>
      <c r="F103" s="797" t="s">
        <v>44</v>
      </c>
      <c r="G103" s="798" t="s">
        <v>125</v>
      </c>
      <c r="H103" s="799" t="str">
        <f t="shared" si="21"/>
        <v>n.v</v>
      </c>
      <c r="I103" s="800">
        <v>320</v>
      </c>
      <c r="K103" s="782" t="s">
        <v>134</v>
      </c>
      <c r="L103" s="783">
        <v>0</v>
      </c>
      <c r="M103" s="784">
        <v>38</v>
      </c>
      <c r="N103" s="784">
        <v>0</v>
      </c>
      <c r="O103" s="784">
        <v>58</v>
      </c>
      <c r="P103" s="785">
        <v>0</v>
      </c>
      <c r="R103" s="782" t="s">
        <v>134</v>
      </c>
      <c r="S103" s="786">
        <v>0</v>
      </c>
      <c r="T103" s="787">
        <v>19.353241079974474</v>
      </c>
      <c r="U103" s="787">
        <v>0</v>
      </c>
      <c r="V103" s="787">
        <v>29.539157437855778</v>
      </c>
      <c r="W103" s="788">
        <v>0</v>
      </c>
    </row>
    <row r="104" spans="1:27">
      <c r="A104" s="400" t="s">
        <v>148</v>
      </c>
      <c r="B104" s="761" t="s">
        <v>164</v>
      </c>
      <c r="C104" s="736">
        <v>7308.29</v>
      </c>
      <c r="D104" s="400" t="s">
        <v>169</v>
      </c>
      <c r="E104" s="736">
        <v>6613.84</v>
      </c>
      <c r="F104" s="789" t="s">
        <v>44</v>
      </c>
      <c r="G104" s="790">
        <v>62</v>
      </c>
      <c r="H104" s="791">
        <f t="shared" si="21"/>
        <v>12.334508089621888</v>
      </c>
      <c r="I104" s="792" t="s">
        <v>496</v>
      </c>
      <c r="K104" s="782" t="s">
        <v>137</v>
      </c>
      <c r="L104" s="783">
        <v>0</v>
      </c>
      <c r="M104" s="784">
        <v>113</v>
      </c>
      <c r="N104" s="784">
        <v>113</v>
      </c>
      <c r="O104" s="784">
        <v>133</v>
      </c>
      <c r="P104" s="785">
        <v>0</v>
      </c>
      <c r="R104" s="782" t="s">
        <v>137</v>
      </c>
      <c r="S104" s="786">
        <v>0</v>
      </c>
      <c r="T104" s="787">
        <v>57.550427422029358</v>
      </c>
      <c r="U104" s="787">
        <v>57.550427422029358</v>
      </c>
      <c r="V104" s="787">
        <v>67.736343779910655</v>
      </c>
      <c r="W104" s="788">
        <v>0</v>
      </c>
    </row>
    <row r="105" spans="1:27">
      <c r="A105" s="400" t="s">
        <v>149</v>
      </c>
      <c r="B105" s="761" t="s">
        <v>165</v>
      </c>
      <c r="C105" s="736">
        <v>8921.01</v>
      </c>
      <c r="D105" s="400" t="s">
        <v>170</v>
      </c>
      <c r="E105" s="736">
        <v>8073.31</v>
      </c>
      <c r="F105" s="762" t="s">
        <v>45</v>
      </c>
      <c r="G105" s="763">
        <v>30</v>
      </c>
      <c r="H105" s="793">
        <f t="shared" si="21"/>
        <v>5.968310365946075</v>
      </c>
      <c r="I105" s="765">
        <v>180</v>
      </c>
      <c r="K105" s="782" t="s">
        <v>135</v>
      </c>
      <c r="L105" s="783">
        <v>0</v>
      </c>
      <c r="M105" s="784">
        <v>38</v>
      </c>
      <c r="N105" s="784">
        <v>0</v>
      </c>
      <c r="O105" s="784">
        <v>58</v>
      </c>
      <c r="P105" s="785">
        <v>0</v>
      </c>
      <c r="R105" s="782" t="s">
        <v>135</v>
      </c>
      <c r="S105" s="786">
        <v>0</v>
      </c>
      <c r="T105" s="787">
        <v>19.353241079974474</v>
      </c>
      <c r="U105" s="787">
        <v>0</v>
      </c>
      <c r="V105" s="787">
        <v>29.539157437855778</v>
      </c>
      <c r="W105" s="788">
        <v>0</v>
      </c>
    </row>
    <row r="106" spans="1:27">
      <c r="A106" s="400" t="s">
        <v>150</v>
      </c>
      <c r="B106" s="761" t="s">
        <v>166</v>
      </c>
      <c r="C106" s="736">
        <v>8900.61</v>
      </c>
      <c r="D106" s="400" t="s">
        <v>171</v>
      </c>
      <c r="E106" s="736">
        <v>8054.85</v>
      </c>
      <c r="F106" s="794" t="s">
        <v>45</v>
      </c>
      <c r="G106" s="553">
        <v>44</v>
      </c>
      <c r="H106" s="795">
        <f t="shared" si="21"/>
        <v>8.753521870054243</v>
      </c>
      <c r="I106" s="796">
        <v>250</v>
      </c>
      <c r="K106" s="782" t="s">
        <v>138</v>
      </c>
      <c r="L106" s="783">
        <v>0</v>
      </c>
      <c r="M106" s="784">
        <v>113</v>
      </c>
      <c r="N106" s="784">
        <v>113</v>
      </c>
      <c r="O106" s="784">
        <v>133</v>
      </c>
      <c r="P106" s="785">
        <v>0</v>
      </c>
      <c r="R106" s="782" t="s">
        <v>138</v>
      </c>
      <c r="S106" s="786">
        <v>0</v>
      </c>
      <c r="T106" s="787">
        <v>57.550427422029358</v>
      </c>
      <c r="U106" s="787">
        <v>57.550427422029358</v>
      </c>
      <c r="V106" s="787">
        <v>67.736343779910655</v>
      </c>
      <c r="W106" s="788">
        <v>0</v>
      </c>
    </row>
    <row r="107" spans="1:27">
      <c r="A107" s="400" t="s">
        <v>151</v>
      </c>
      <c r="B107" s="761" t="s">
        <v>167</v>
      </c>
      <c r="C107" s="736">
        <v>9594.69</v>
      </c>
      <c r="D107" s="400" t="s">
        <v>172</v>
      </c>
      <c r="E107" s="736">
        <v>8682.98</v>
      </c>
      <c r="F107" s="797" t="s">
        <v>45</v>
      </c>
      <c r="G107" s="798" t="s">
        <v>125</v>
      </c>
      <c r="H107" s="799" t="str">
        <f t="shared" si="21"/>
        <v>n.v</v>
      </c>
      <c r="I107" s="800">
        <v>320</v>
      </c>
      <c r="K107" s="782" t="s">
        <v>139</v>
      </c>
      <c r="L107" s="783">
        <v>57</v>
      </c>
      <c r="M107" s="784">
        <v>83</v>
      </c>
      <c r="N107" s="784">
        <v>0</v>
      </c>
      <c r="O107" s="784">
        <v>91</v>
      </c>
      <c r="P107" s="785">
        <v>0</v>
      </c>
      <c r="R107" s="782" t="s">
        <v>139</v>
      </c>
      <c r="S107" s="786">
        <v>29.029861619961714</v>
      </c>
      <c r="T107" s="787">
        <v>42.271552885207406</v>
      </c>
      <c r="U107" s="787">
        <v>0</v>
      </c>
      <c r="V107" s="787">
        <v>46.34591942835992</v>
      </c>
      <c r="W107" s="788">
        <v>0</v>
      </c>
    </row>
    <row r="108" spans="1:27">
      <c r="A108" s="400" t="s">
        <v>152</v>
      </c>
      <c r="B108" s="761" t="s">
        <v>680</v>
      </c>
      <c r="C108" s="736">
        <v>10799.1</v>
      </c>
      <c r="D108" s="400" t="s">
        <v>173</v>
      </c>
      <c r="E108" s="736">
        <v>9772.9500000000007</v>
      </c>
      <c r="F108" s="789" t="s">
        <v>45</v>
      </c>
      <c r="G108" s="790">
        <v>62</v>
      </c>
      <c r="H108" s="791">
        <f t="shared" si="21"/>
        <v>12.334508089621888</v>
      </c>
      <c r="I108" s="792" t="s">
        <v>496</v>
      </c>
      <c r="K108" s="782" t="s">
        <v>140</v>
      </c>
      <c r="L108" s="783">
        <v>57</v>
      </c>
      <c r="M108" s="784">
        <v>83</v>
      </c>
      <c r="N108" s="784">
        <v>0</v>
      </c>
      <c r="O108" s="784">
        <v>91</v>
      </c>
      <c r="P108" s="785">
        <v>0</v>
      </c>
      <c r="R108" s="782" t="s">
        <v>140</v>
      </c>
      <c r="S108" s="786">
        <v>29.029861619961714</v>
      </c>
      <c r="T108" s="787">
        <v>42.271552885207406</v>
      </c>
      <c r="U108" s="787">
        <v>0</v>
      </c>
      <c r="V108" s="787">
        <v>46.34591942835992</v>
      </c>
      <c r="W108" s="788">
        <v>0</v>
      </c>
    </row>
    <row r="109" spans="1:27">
      <c r="A109" s="400" t="s">
        <v>153</v>
      </c>
      <c r="B109" s="761" t="s">
        <v>690</v>
      </c>
      <c r="C109" s="736">
        <v>10062.459999999999</v>
      </c>
      <c r="D109" s="400" t="s">
        <v>174</v>
      </c>
      <c r="E109" s="736">
        <v>9106.2999999999993</v>
      </c>
      <c r="F109" s="801" t="s">
        <v>133</v>
      </c>
      <c r="G109" s="802" t="s">
        <v>125</v>
      </c>
      <c r="H109" s="803" t="str">
        <f t="shared" si="21"/>
        <v>n.v</v>
      </c>
      <c r="I109" s="804">
        <v>180</v>
      </c>
      <c r="K109" s="782" t="s">
        <v>141</v>
      </c>
      <c r="L109" s="783">
        <v>0</v>
      </c>
      <c r="M109" s="784">
        <v>65</v>
      </c>
      <c r="N109" s="784">
        <v>0</v>
      </c>
      <c r="O109" s="784">
        <v>75</v>
      </c>
      <c r="P109" s="785">
        <v>0</v>
      </c>
      <c r="R109" s="782" t="s">
        <v>141</v>
      </c>
      <c r="S109" s="786">
        <v>0</v>
      </c>
      <c r="T109" s="787">
        <v>33.104228163114229</v>
      </c>
      <c r="U109" s="787">
        <v>0</v>
      </c>
      <c r="V109" s="787">
        <v>38.197186342054877</v>
      </c>
      <c r="W109" s="788">
        <v>0</v>
      </c>
    </row>
    <row r="110" spans="1:27">
      <c r="A110" s="400" t="s">
        <v>154</v>
      </c>
      <c r="B110" s="761" t="s">
        <v>691</v>
      </c>
      <c r="C110" s="736">
        <v>8499.7000000000007</v>
      </c>
      <c r="D110" s="400" t="s">
        <v>176</v>
      </c>
      <c r="E110" s="736">
        <v>7692.03</v>
      </c>
      <c r="F110" s="794" t="s">
        <v>133</v>
      </c>
      <c r="G110" s="553">
        <v>38</v>
      </c>
      <c r="H110" s="795">
        <f t="shared" si="21"/>
        <v>7.5598597968650285</v>
      </c>
      <c r="I110" s="796">
        <v>250</v>
      </c>
      <c r="K110" s="782" t="s">
        <v>144</v>
      </c>
      <c r="L110" s="783">
        <v>0</v>
      </c>
      <c r="M110" s="784">
        <v>113</v>
      </c>
      <c r="N110" s="784">
        <v>113</v>
      </c>
      <c r="O110" s="784">
        <v>133</v>
      </c>
      <c r="P110" s="785">
        <v>0</v>
      </c>
      <c r="R110" s="782" t="s">
        <v>144</v>
      </c>
      <c r="S110" s="786">
        <v>0</v>
      </c>
      <c r="T110" s="787">
        <v>57.550427422029358</v>
      </c>
      <c r="U110" s="787">
        <v>57.550427422029358</v>
      </c>
      <c r="V110" s="787">
        <v>67.736343779910655</v>
      </c>
      <c r="W110" s="788">
        <v>0</v>
      </c>
    </row>
    <row r="111" spans="1:27">
      <c r="A111" s="400" t="s">
        <v>156</v>
      </c>
      <c r="B111" s="761" t="s">
        <v>692</v>
      </c>
      <c r="C111" s="736">
        <v>10622.48</v>
      </c>
      <c r="D111" s="400" t="s">
        <v>175</v>
      </c>
      <c r="E111" s="736">
        <v>9613.1</v>
      </c>
      <c r="F111" s="797" t="s">
        <v>133</v>
      </c>
      <c r="G111" s="798" t="s">
        <v>125</v>
      </c>
      <c r="H111" s="799" t="str">
        <f t="shared" si="21"/>
        <v>n.v</v>
      </c>
      <c r="I111" s="800">
        <v>320</v>
      </c>
      <c r="K111" s="782" t="s">
        <v>142</v>
      </c>
      <c r="L111" s="783">
        <v>0</v>
      </c>
      <c r="M111" s="784">
        <v>65</v>
      </c>
      <c r="N111" s="784">
        <v>0</v>
      </c>
      <c r="O111" s="784">
        <v>75</v>
      </c>
      <c r="P111" s="785">
        <v>0</v>
      </c>
      <c r="R111" s="782" t="s">
        <v>142</v>
      </c>
      <c r="S111" s="786">
        <v>0</v>
      </c>
      <c r="T111" s="787">
        <v>33.104228163114229</v>
      </c>
      <c r="U111" s="787">
        <v>0</v>
      </c>
      <c r="V111" s="787">
        <v>38.197186342054877</v>
      </c>
      <c r="W111" s="788">
        <v>0</v>
      </c>
    </row>
    <row r="112" spans="1:27">
      <c r="A112" s="400" t="s">
        <v>155</v>
      </c>
      <c r="B112" s="761" t="s">
        <v>693</v>
      </c>
      <c r="C112" s="736">
        <v>9731.0400000000009</v>
      </c>
      <c r="D112" s="400" t="s">
        <v>177</v>
      </c>
      <c r="E112" s="736">
        <v>8806.3700000000008</v>
      </c>
      <c r="F112" s="789" t="s">
        <v>133</v>
      </c>
      <c r="G112" s="790">
        <v>58</v>
      </c>
      <c r="H112" s="791">
        <f t="shared" si="21"/>
        <v>11.538733374162412</v>
      </c>
      <c r="I112" s="792" t="s">
        <v>496</v>
      </c>
      <c r="K112" s="782" t="s">
        <v>145</v>
      </c>
      <c r="L112" s="783">
        <v>0</v>
      </c>
      <c r="M112" s="784">
        <v>113</v>
      </c>
      <c r="N112" s="784">
        <v>113</v>
      </c>
      <c r="O112" s="784">
        <v>133</v>
      </c>
      <c r="P112" s="785">
        <v>0</v>
      </c>
      <c r="R112" s="782" t="s">
        <v>145</v>
      </c>
      <c r="S112" s="786">
        <v>0</v>
      </c>
      <c r="T112" s="787">
        <v>57.550427422029358</v>
      </c>
      <c r="U112" s="787">
        <v>57.550427422029358</v>
      </c>
      <c r="V112" s="787">
        <v>67.736343779910655</v>
      </c>
      <c r="W112" s="788">
        <v>0</v>
      </c>
    </row>
    <row r="113" spans="1:33">
      <c r="A113" s="400" t="s">
        <v>157</v>
      </c>
      <c r="B113" s="761" t="s">
        <v>694</v>
      </c>
      <c r="C113" s="736">
        <v>11403.39</v>
      </c>
      <c r="D113" s="400" t="s">
        <v>178</v>
      </c>
      <c r="E113" s="736">
        <v>10319.81</v>
      </c>
      <c r="F113" s="762" t="s">
        <v>134</v>
      </c>
      <c r="G113" s="763" t="s">
        <v>125</v>
      </c>
      <c r="H113" s="793" t="str">
        <f t="shared" si="21"/>
        <v>n.v</v>
      </c>
      <c r="I113" s="765">
        <v>180</v>
      </c>
      <c r="K113" s="782" t="s">
        <v>143</v>
      </c>
      <c r="L113" s="783">
        <v>0</v>
      </c>
      <c r="M113" s="784">
        <v>65</v>
      </c>
      <c r="N113" s="784">
        <v>0</v>
      </c>
      <c r="O113" s="784">
        <v>75</v>
      </c>
      <c r="P113" s="785">
        <v>0</v>
      </c>
      <c r="R113" s="782" t="s">
        <v>143</v>
      </c>
      <c r="S113" s="786">
        <v>0</v>
      </c>
      <c r="T113" s="787">
        <v>33.104228163114229</v>
      </c>
      <c r="U113" s="787">
        <v>0</v>
      </c>
      <c r="V113" s="787">
        <v>38.197186342054877</v>
      </c>
      <c r="W113" s="788">
        <v>0</v>
      </c>
    </row>
    <row r="114" spans="1:33">
      <c r="A114" s="400" t="s">
        <v>158</v>
      </c>
      <c r="B114" s="761" t="s">
        <v>706</v>
      </c>
      <c r="C114" s="736">
        <v>12718.06</v>
      </c>
      <c r="D114" s="400" t="s">
        <v>179</v>
      </c>
      <c r="E114" s="736">
        <v>11509.56</v>
      </c>
      <c r="F114" s="794" t="s">
        <v>134</v>
      </c>
      <c r="G114" s="553">
        <v>38</v>
      </c>
      <c r="H114" s="795">
        <f t="shared" si="21"/>
        <v>7.5598597968650285</v>
      </c>
      <c r="I114" s="796">
        <v>250</v>
      </c>
      <c r="K114" s="782" t="s">
        <v>146</v>
      </c>
      <c r="L114" s="783">
        <v>0</v>
      </c>
      <c r="M114" s="784">
        <v>113</v>
      </c>
      <c r="N114" s="784">
        <v>113</v>
      </c>
      <c r="O114" s="784">
        <v>133</v>
      </c>
      <c r="P114" s="785">
        <v>0</v>
      </c>
      <c r="R114" s="782" t="s">
        <v>146</v>
      </c>
      <c r="S114" s="786">
        <v>0</v>
      </c>
      <c r="T114" s="787">
        <v>57.550427422029358</v>
      </c>
      <c r="U114" s="787">
        <v>57.550427422029358</v>
      </c>
      <c r="V114" s="787">
        <v>67.736343779910655</v>
      </c>
      <c r="W114" s="788">
        <v>0</v>
      </c>
    </row>
    <row r="115" spans="1:33">
      <c r="A115" s="400" t="s">
        <v>159</v>
      </c>
      <c r="B115" s="761" t="s">
        <v>707</v>
      </c>
      <c r="C115" s="736">
        <v>16682.48</v>
      </c>
      <c r="D115" s="400" t="s">
        <v>180</v>
      </c>
      <c r="E115" s="736">
        <v>15097.27</v>
      </c>
      <c r="F115" s="797" t="s">
        <v>134</v>
      </c>
      <c r="G115" s="798" t="s">
        <v>125</v>
      </c>
      <c r="H115" s="799" t="str">
        <f t="shared" si="21"/>
        <v>n.v</v>
      </c>
      <c r="I115" s="800">
        <v>320</v>
      </c>
      <c r="K115" s="782" t="s">
        <v>392</v>
      </c>
      <c r="L115" s="783">
        <v>0</v>
      </c>
      <c r="M115" s="784">
        <v>0</v>
      </c>
      <c r="N115" s="784">
        <v>0</v>
      </c>
      <c r="O115" s="784">
        <v>0</v>
      </c>
      <c r="P115" s="785">
        <v>290</v>
      </c>
      <c r="R115" s="782" t="s">
        <v>392</v>
      </c>
      <c r="S115" s="786">
        <v>0</v>
      </c>
      <c r="T115" s="787">
        <v>0</v>
      </c>
      <c r="U115" s="787">
        <v>0</v>
      </c>
      <c r="V115" s="787">
        <v>0</v>
      </c>
      <c r="W115" s="788">
        <v>147.69578718927886</v>
      </c>
    </row>
    <row r="116" spans="1:33">
      <c r="A116" s="400" t="s">
        <v>160</v>
      </c>
      <c r="B116" s="761" t="s">
        <v>695</v>
      </c>
      <c r="C116" s="736">
        <v>16282.38</v>
      </c>
      <c r="D116" s="400" t="s">
        <v>181</v>
      </c>
      <c r="E116" s="736">
        <v>14735.19</v>
      </c>
      <c r="F116" s="789" t="s">
        <v>134</v>
      </c>
      <c r="G116" s="790">
        <v>58</v>
      </c>
      <c r="H116" s="791">
        <f t="shared" si="21"/>
        <v>11.538733374162412</v>
      </c>
      <c r="I116" s="792" t="s">
        <v>496</v>
      </c>
      <c r="K116" s="782" t="s">
        <v>393</v>
      </c>
      <c r="L116" s="783">
        <v>0</v>
      </c>
      <c r="M116" s="784">
        <v>0</v>
      </c>
      <c r="N116" s="784">
        <v>0</v>
      </c>
      <c r="O116" s="784">
        <v>0</v>
      </c>
      <c r="P116" s="785">
        <v>290</v>
      </c>
      <c r="R116" s="782" t="s">
        <v>393</v>
      </c>
      <c r="S116" s="786">
        <v>0</v>
      </c>
      <c r="T116" s="787">
        <v>0</v>
      </c>
      <c r="U116" s="787">
        <v>0</v>
      </c>
      <c r="V116" s="787">
        <v>0</v>
      </c>
      <c r="W116" s="788">
        <v>147.69578718927886</v>
      </c>
    </row>
    <row r="117" spans="1:33">
      <c r="A117" s="400" t="s">
        <v>161</v>
      </c>
      <c r="B117" s="761" t="s">
        <v>696</v>
      </c>
      <c r="C117" s="736">
        <v>16453.86</v>
      </c>
      <c r="D117" s="400" t="s">
        <v>182</v>
      </c>
      <c r="E117" s="736">
        <v>14890.37</v>
      </c>
      <c r="F117" s="801" t="s">
        <v>135</v>
      </c>
      <c r="G117" s="802" t="s">
        <v>125</v>
      </c>
      <c r="H117" s="803" t="str">
        <f t="shared" si="21"/>
        <v>n.v</v>
      </c>
      <c r="I117" s="804">
        <v>180</v>
      </c>
      <c r="K117" s="782" t="s">
        <v>391</v>
      </c>
      <c r="L117" s="783">
        <v>0</v>
      </c>
      <c r="M117" s="784">
        <v>0</v>
      </c>
      <c r="N117" s="784">
        <v>0</v>
      </c>
      <c r="O117" s="784">
        <v>0</v>
      </c>
      <c r="P117" s="785">
        <v>290</v>
      </c>
      <c r="R117" s="782" t="s">
        <v>391</v>
      </c>
      <c r="S117" s="786">
        <v>0</v>
      </c>
      <c r="T117" s="787">
        <v>0</v>
      </c>
      <c r="U117" s="787">
        <v>0</v>
      </c>
      <c r="V117" s="787">
        <v>0</v>
      </c>
      <c r="W117" s="788">
        <v>147.69578718927886</v>
      </c>
    </row>
    <row r="118" spans="1:33">
      <c r="A118" s="400" t="s">
        <v>162</v>
      </c>
      <c r="B118" s="761" t="s">
        <v>697</v>
      </c>
      <c r="C118" s="736">
        <v>20067.23</v>
      </c>
      <c r="D118" s="400" t="s">
        <v>183</v>
      </c>
      <c r="E118" s="736">
        <v>18160.39</v>
      </c>
      <c r="F118" s="794" t="s">
        <v>135</v>
      </c>
      <c r="G118" s="553">
        <v>38</v>
      </c>
      <c r="H118" s="795">
        <f t="shared" si="21"/>
        <v>7.5598597968650285</v>
      </c>
      <c r="I118" s="796">
        <v>250</v>
      </c>
      <c r="K118" s="782" t="s">
        <v>394</v>
      </c>
      <c r="L118" s="783">
        <v>0</v>
      </c>
      <c r="M118" s="784">
        <v>0</v>
      </c>
      <c r="N118" s="784">
        <v>0</v>
      </c>
      <c r="O118" s="784">
        <v>0</v>
      </c>
      <c r="P118" s="785">
        <v>580</v>
      </c>
      <c r="R118" s="782" t="s">
        <v>394</v>
      </c>
      <c r="S118" s="786">
        <v>0</v>
      </c>
      <c r="T118" s="787">
        <v>0</v>
      </c>
      <c r="U118" s="787">
        <v>0</v>
      </c>
      <c r="V118" s="787">
        <v>0</v>
      </c>
      <c r="W118" s="788">
        <v>295.39157437855772</v>
      </c>
    </row>
    <row r="119" spans="1:33">
      <c r="A119" s="400" t="s">
        <v>397</v>
      </c>
      <c r="B119" s="761" t="s">
        <v>698</v>
      </c>
      <c r="C119" s="736">
        <v>18107.45</v>
      </c>
      <c r="D119" s="400" t="s">
        <v>403</v>
      </c>
      <c r="E119" s="736">
        <v>16386.830000000002</v>
      </c>
      <c r="F119" s="797" t="s">
        <v>135</v>
      </c>
      <c r="G119" s="798" t="s">
        <v>125</v>
      </c>
      <c r="H119" s="799" t="str">
        <f t="shared" si="21"/>
        <v>n.v</v>
      </c>
      <c r="I119" s="800">
        <v>320</v>
      </c>
      <c r="K119" s="782" t="s">
        <v>395</v>
      </c>
      <c r="L119" s="783">
        <v>0</v>
      </c>
      <c r="M119" s="784">
        <v>0</v>
      </c>
      <c r="N119" s="784">
        <v>0</v>
      </c>
      <c r="O119" s="784">
        <v>0</v>
      </c>
      <c r="P119" s="785">
        <v>580</v>
      </c>
      <c r="R119" s="782" t="s">
        <v>395</v>
      </c>
      <c r="S119" s="786">
        <v>0</v>
      </c>
      <c r="T119" s="787">
        <v>0</v>
      </c>
      <c r="U119" s="787">
        <v>0</v>
      </c>
      <c r="V119" s="787">
        <v>0</v>
      </c>
      <c r="W119" s="788">
        <v>295.39157437855772</v>
      </c>
    </row>
    <row r="120" spans="1:33">
      <c r="A120" s="400" t="s">
        <v>398</v>
      </c>
      <c r="B120" s="761" t="s">
        <v>699</v>
      </c>
      <c r="C120" s="736">
        <v>18260.55</v>
      </c>
      <c r="D120" s="400" t="s">
        <v>404</v>
      </c>
      <c r="E120" s="736">
        <v>16525.38</v>
      </c>
      <c r="F120" s="789" t="s">
        <v>135</v>
      </c>
      <c r="G120" s="790">
        <v>58</v>
      </c>
      <c r="H120" s="791">
        <f t="shared" si="21"/>
        <v>11.538733374162412</v>
      </c>
      <c r="I120" s="792" t="s">
        <v>496</v>
      </c>
      <c r="K120" s="782" t="s">
        <v>396</v>
      </c>
      <c r="L120" s="783">
        <v>0</v>
      </c>
      <c r="M120" s="784">
        <v>0</v>
      </c>
      <c r="N120" s="784">
        <v>0</v>
      </c>
      <c r="O120" s="784">
        <v>0</v>
      </c>
      <c r="P120" s="785">
        <v>580</v>
      </c>
      <c r="R120" s="782" t="s">
        <v>396</v>
      </c>
      <c r="S120" s="786">
        <v>0</v>
      </c>
      <c r="T120" s="787">
        <v>0</v>
      </c>
      <c r="U120" s="787">
        <v>0</v>
      </c>
      <c r="V120" s="787">
        <v>0</v>
      </c>
      <c r="W120" s="788">
        <v>295.39157437855772</v>
      </c>
    </row>
    <row r="121" spans="1:33">
      <c r="A121" s="400" t="s">
        <v>399</v>
      </c>
      <c r="B121" s="761" t="s">
        <v>700</v>
      </c>
      <c r="C121" s="736">
        <v>21806.46</v>
      </c>
      <c r="D121" s="400" t="s">
        <v>405</v>
      </c>
      <c r="E121" s="736">
        <v>19734.349999999999</v>
      </c>
      <c r="F121" s="801" t="s">
        <v>136</v>
      </c>
      <c r="G121" s="802" t="s">
        <v>125</v>
      </c>
      <c r="H121" s="803" t="str">
        <f t="shared" si="21"/>
        <v>n.v</v>
      </c>
      <c r="I121" s="804">
        <v>180</v>
      </c>
      <c r="K121" s="782" t="s">
        <v>743</v>
      </c>
      <c r="L121" s="783">
        <v>10</v>
      </c>
      <c r="M121" s="784">
        <v>0</v>
      </c>
      <c r="N121" s="784">
        <v>0</v>
      </c>
      <c r="O121" s="784">
        <v>17</v>
      </c>
      <c r="P121" s="785">
        <v>0</v>
      </c>
      <c r="R121" s="782" t="s">
        <v>743</v>
      </c>
      <c r="S121" s="786">
        <v>5.0929581789406511</v>
      </c>
      <c r="T121" s="787">
        <v>0</v>
      </c>
      <c r="U121" s="787">
        <v>0</v>
      </c>
      <c r="V121" s="787">
        <v>8.6580289041991065</v>
      </c>
      <c r="W121" s="788">
        <v>0</v>
      </c>
    </row>
    <row r="122" spans="1:33">
      <c r="A122" s="400" t="s">
        <v>400</v>
      </c>
      <c r="B122" s="761" t="s">
        <v>701</v>
      </c>
      <c r="C122" s="736">
        <v>20577.560000000001</v>
      </c>
      <c r="D122" s="400" t="s">
        <v>406</v>
      </c>
      <c r="E122" s="736">
        <v>18622.22</v>
      </c>
      <c r="F122" s="794" t="s">
        <v>136</v>
      </c>
      <c r="G122" s="553">
        <v>113</v>
      </c>
      <c r="H122" s="795">
        <f t="shared" si="21"/>
        <v>22.480635711730216</v>
      </c>
      <c r="I122" s="796">
        <v>250</v>
      </c>
      <c r="K122" s="782" t="s">
        <v>744</v>
      </c>
      <c r="L122" s="783">
        <v>33</v>
      </c>
      <c r="M122" s="784">
        <v>46</v>
      </c>
      <c r="N122" s="784">
        <v>0</v>
      </c>
      <c r="O122" s="784">
        <v>64</v>
      </c>
      <c r="P122" s="785">
        <v>0</v>
      </c>
      <c r="R122" s="782" t="s">
        <v>744</v>
      </c>
      <c r="S122" s="786">
        <v>16.80676199050415</v>
      </c>
      <c r="T122" s="787">
        <v>23.427607623126995</v>
      </c>
      <c r="U122" s="787">
        <v>0</v>
      </c>
      <c r="V122" s="787">
        <v>32.594932345220165</v>
      </c>
      <c r="W122" s="788">
        <v>0</v>
      </c>
    </row>
    <row r="123" spans="1:33">
      <c r="A123" s="400" t="s">
        <v>401</v>
      </c>
      <c r="B123" s="761" t="s">
        <v>702</v>
      </c>
      <c r="C123" s="736">
        <v>24231.71</v>
      </c>
      <c r="D123" s="400" t="s">
        <v>407</v>
      </c>
      <c r="E123" s="736">
        <v>21929.15</v>
      </c>
      <c r="F123" s="794" t="s">
        <v>136</v>
      </c>
      <c r="G123" s="553">
        <v>113</v>
      </c>
      <c r="H123" s="795">
        <f t="shared" si="21"/>
        <v>22.480635711730216</v>
      </c>
      <c r="I123" s="796">
        <v>320</v>
      </c>
      <c r="K123" s="782" t="s">
        <v>745</v>
      </c>
      <c r="L123" s="783">
        <v>33</v>
      </c>
      <c r="M123" s="784">
        <v>46</v>
      </c>
      <c r="N123" s="784">
        <v>0</v>
      </c>
      <c r="O123" s="784">
        <v>64</v>
      </c>
      <c r="P123" s="785">
        <v>0</v>
      </c>
      <c r="R123" s="782" t="s">
        <v>745</v>
      </c>
      <c r="S123" s="786">
        <v>16.80676199050415</v>
      </c>
      <c r="T123" s="787">
        <v>23.427607623126995</v>
      </c>
      <c r="U123" s="787">
        <v>0</v>
      </c>
      <c r="V123" s="787">
        <v>32.594932345220165</v>
      </c>
      <c r="W123" s="788">
        <v>0</v>
      </c>
    </row>
    <row r="124" spans="1:33">
      <c r="A124" s="400" t="s">
        <v>402</v>
      </c>
      <c r="B124" s="761" t="s">
        <v>703</v>
      </c>
      <c r="C124" s="736">
        <v>26042.43</v>
      </c>
      <c r="D124" s="400" t="s">
        <v>408</v>
      </c>
      <c r="E124" s="736">
        <v>23567.81</v>
      </c>
      <c r="F124" s="789" t="s">
        <v>136</v>
      </c>
      <c r="G124" s="790">
        <v>133</v>
      </c>
      <c r="H124" s="791">
        <f t="shared" si="21"/>
        <v>26.459509289027597</v>
      </c>
      <c r="I124" s="792" t="s">
        <v>496</v>
      </c>
      <c r="K124" s="782" t="s">
        <v>746</v>
      </c>
      <c r="L124" s="783">
        <v>0</v>
      </c>
      <c r="M124" s="784">
        <v>85</v>
      </c>
      <c r="N124" s="784">
        <v>0</v>
      </c>
      <c r="O124" s="784">
        <v>95</v>
      </c>
      <c r="P124" s="785">
        <v>0</v>
      </c>
      <c r="R124" s="782" t="s">
        <v>746</v>
      </c>
      <c r="S124" s="786">
        <v>0</v>
      </c>
      <c r="T124" s="787">
        <v>43.290144520995533</v>
      </c>
      <c r="U124" s="787">
        <v>0</v>
      </c>
      <c r="V124" s="787">
        <v>48.383102699936181</v>
      </c>
      <c r="W124" s="788">
        <v>0</v>
      </c>
    </row>
    <row r="125" spans="1:33" ht="12.75" thickBot="1">
      <c r="A125" s="401" t="s">
        <v>750</v>
      </c>
      <c r="B125" s="400" t="s">
        <v>751</v>
      </c>
      <c r="C125" s="736">
        <v>3146.44</v>
      </c>
      <c r="D125" s="400" t="s">
        <v>801</v>
      </c>
      <c r="E125" s="736">
        <v>2847.46</v>
      </c>
      <c r="F125" s="801" t="s">
        <v>137</v>
      </c>
      <c r="G125" s="802" t="s">
        <v>125</v>
      </c>
      <c r="H125" s="803" t="str">
        <f t="shared" si="21"/>
        <v>n.v</v>
      </c>
      <c r="I125" s="804">
        <v>180</v>
      </c>
      <c r="K125" s="805" t="s">
        <v>747</v>
      </c>
      <c r="L125" s="806">
        <v>0</v>
      </c>
      <c r="M125" s="807">
        <v>85</v>
      </c>
      <c r="N125" s="807">
        <v>0</v>
      </c>
      <c r="O125" s="807">
        <v>95</v>
      </c>
      <c r="P125" s="808">
        <v>0</v>
      </c>
      <c r="R125" s="805" t="s">
        <v>747</v>
      </c>
      <c r="S125" s="809">
        <v>0</v>
      </c>
      <c r="T125" s="810">
        <v>43.290144520995533</v>
      </c>
      <c r="U125" s="810">
        <v>0</v>
      </c>
      <c r="V125" s="810">
        <v>48.383102699936181</v>
      </c>
      <c r="W125" s="811">
        <v>0</v>
      </c>
    </row>
    <row r="126" spans="1:33" ht="12.75" thickBot="1">
      <c r="A126" s="401" t="s">
        <v>773</v>
      </c>
      <c r="B126" s="400" t="s">
        <v>774</v>
      </c>
      <c r="C126" s="736">
        <v>3146.44</v>
      </c>
      <c r="D126" s="400" t="s">
        <v>802</v>
      </c>
      <c r="E126" s="736">
        <v>2847.46</v>
      </c>
      <c r="F126" s="794" t="s">
        <v>137</v>
      </c>
      <c r="G126" s="553">
        <v>113</v>
      </c>
      <c r="H126" s="795">
        <f t="shared" si="21"/>
        <v>22.480635711730216</v>
      </c>
      <c r="I126" s="796">
        <v>250</v>
      </c>
      <c r="K126" s="812" t="e">
        <f>GETPIVOTDATA($K$96,$R$126)</f>
        <v>#REF!</v>
      </c>
      <c r="R126" s="812" t="e">
        <f>CONCATENATE("",anlage_ermittelt," ",zulauf_ermittelt,"")</f>
        <v>#N/A</v>
      </c>
    </row>
    <row r="127" spans="1:33">
      <c r="A127" s="401" t="s">
        <v>752</v>
      </c>
      <c r="B127" s="400" t="s">
        <v>753</v>
      </c>
      <c r="C127" s="736">
        <v>6451.45</v>
      </c>
      <c r="D127" s="400" t="s">
        <v>803</v>
      </c>
      <c r="E127" s="736">
        <v>5838.41</v>
      </c>
      <c r="F127" s="794" t="s">
        <v>137</v>
      </c>
      <c r="G127" s="553">
        <v>113</v>
      </c>
      <c r="H127" s="795">
        <f t="shared" si="21"/>
        <v>22.480635711730216</v>
      </c>
      <c r="I127" s="796">
        <v>320</v>
      </c>
    </row>
    <row r="128" spans="1:33">
      <c r="A128" s="401" t="s">
        <v>754</v>
      </c>
      <c r="B128" s="400" t="s">
        <v>755</v>
      </c>
      <c r="C128" s="736">
        <v>5673.63</v>
      </c>
      <c r="D128" s="400" t="s">
        <v>804</v>
      </c>
      <c r="E128" s="736">
        <v>5134.5</v>
      </c>
      <c r="F128" s="789" t="s">
        <v>137</v>
      </c>
      <c r="G128" s="790">
        <v>133</v>
      </c>
      <c r="H128" s="791">
        <f t="shared" si="21"/>
        <v>26.459509289027597</v>
      </c>
      <c r="I128" s="792" t="s">
        <v>496</v>
      </c>
      <c r="AG128" s="813" t="e">
        <f>IF(anlagen_art_duo="ja",EXACT(CONCATENATE($D$36,laufrad_ist_volumen),LEFT(Y128,3)),IF(anlagen_art_duo="nein",EXACT(CONCATENATE($D$36,laufrad_ist_volumen),LEFT(Y128,2)),EXACT(IF(LEFT(Y128,2)="UZ",CONCATENATE("UZ",laufrad_ist_volumen),CONCATENATE("U",laufrad_ist_volumen)),IF(LEFT(Y128,2)="UZ",LEFT(Y128,3),LEFT(Y128,2)))))</f>
        <v>#VALUE!</v>
      </c>
    </row>
    <row r="129" spans="1:59">
      <c r="A129" s="401" t="s">
        <v>756</v>
      </c>
      <c r="B129" s="400" t="s">
        <v>757</v>
      </c>
      <c r="C129" s="736">
        <v>7060.72</v>
      </c>
      <c r="D129" s="400" t="s">
        <v>805</v>
      </c>
      <c r="E129" s="736">
        <v>6389.79</v>
      </c>
      <c r="F129" s="801" t="s">
        <v>138</v>
      </c>
      <c r="G129" s="802" t="s">
        <v>125</v>
      </c>
      <c r="H129" s="803" t="str">
        <f t="shared" ref="H129:H160" si="22">IF(G129="nv","n.v",(4*G129/(PI()*(dn/100)^2)/10))</f>
        <v>n.v</v>
      </c>
      <c r="I129" s="804">
        <v>180</v>
      </c>
    </row>
    <row r="130" spans="1:59" ht="12.75" thickBot="1">
      <c r="A130" s="401" t="s">
        <v>758</v>
      </c>
      <c r="B130" s="400" t="s">
        <v>759</v>
      </c>
      <c r="C130" s="736">
        <v>6089.05</v>
      </c>
      <c r="D130" s="400" t="s">
        <v>806</v>
      </c>
      <c r="E130" s="736">
        <v>5510.45</v>
      </c>
      <c r="F130" s="794" t="s">
        <v>138</v>
      </c>
      <c r="G130" s="553">
        <v>113</v>
      </c>
      <c r="H130" s="795">
        <f t="shared" si="22"/>
        <v>22.480635711730216</v>
      </c>
      <c r="I130" s="796">
        <v>250</v>
      </c>
      <c r="X130" s="401"/>
    </row>
    <row r="131" spans="1:59" ht="12.75" thickBot="1">
      <c r="A131" s="401" t="s">
        <v>760</v>
      </c>
      <c r="B131" s="400" t="s">
        <v>762</v>
      </c>
      <c r="C131" s="736">
        <v>15054.01</v>
      </c>
      <c r="D131" s="400" t="s">
        <v>807</v>
      </c>
      <c r="E131" s="736">
        <v>13623.54</v>
      </c>
      <c r="F131" s="794" t="s">
        <v>138</v>
      </c>
      <c r="G131" s="553">
        <v>113</v>
      </c>
      <c r="H131" s="795">
        <f t="shared" si="22"/>
        <v>22.480635711730216</v>
      </c>
      <c r="I131" s="796">
        <v>320</v>
      </c>
      <c r="S131" s="754"/>
      <c r="T131" s="814">
        <v>180</v>
      </c>
      <c r="U131" s="814">
        <v>250</v>
      </c>
      <c r="V131" s="814">
        <v>320</v>
      </c>
      <c r="W131" s="814" t="s">
        <v>496</v>
      </c>
      <c r="X131" s="814">
        <v>700</v>
      </c>
      <c r="Y131" s="584" t="s">
        <v>190</v>
      </c>
      <c r="Z131" s="815">
        <v>180</v>
      </c>
      <c r="AA131" s="815">
        <v>250</v>
      </c>
      <c r="AB131" s="815">
        <v>320</v>
      </c>
      <c r="AC131" s="815" t="s">
        <v>496</v>
      </c>
      <c r="AD131" s="815">
        <v>700</v>
      </c>
      <c r="AF131" s="816" t="s">
        <v>191</v>
      </c>
      <c r="AG131" s="816" t="s">
        <v>106</v>
      </c>
      <c r="AH131" s="816">
        <v>180</v>
      </c>
      <c r="AI131" s="816">
        <v>250</v>
      </c>
      <c r="AJ131" s="816">
        <v>320</v>
      </c>
      <c r="AK131" s="816">
        <v>700</v>
      </c>
      <c r="AL131" s="816" t="s">
        <v>58</v>
      </c>
      <c r="AM131" s="816" t="s">
        <v>192</v>
      </c>
      <c r="AN131" s="817" t="s">
        <v>193</v>
      </c>
      <c r="AO131" s="818" t="s">
        <v>278</v>
      </c>
      <c r="AP131" s="818" t="s">
        <v>297</v>
      </c>
      <c r="AQ131" s="818" t="s">
        <v>298</v>
      </c>
      <c r="AR131" s="818" t="s">
        <v>299</v>
      </c>
      <c r="AS131" s="818" t="s">
        <v>300</v>
      </c>
      <c r="AT131" s="818" t="s">
        <v>301</v>
      </c>
      <c r="AU131" s="818" t="s">
        <v>307</v>
      </c>
      <c r="AV131" s="818" t="s">
        <v>313</v>
      </c>
      <c r="AW131" s="818" t="s">
        <v>314</v>
      </c>
      <c r="AX131" s="818" t="s">
        <v>315</v>
      </c>
      <c r="AY131" s="818" t="s">
        <v>318</v>
      </c>
      <c r="AZ131" s="818" t="s">
        <v>319</v>
      </c>
      <c r="BA131" s="818" t="s">
        <v>321</v>
      </c>
      <c r="BB131" s="818" t="s">
        <v>323</v>
      </c>
      <c r="BC131" s="818" t="s">
        <v>324</v>
      </c>
      <c r="BD131" s="818" t="s">
        <v>325</v>
      </c>
      <c r="BE131" s="818" t="s">
        <v>326</v>
      </c>
      <c r="BF131" s="818" t="s">
        <v>337</v>
      </c>
      <c r="BG131" s="818" t="s">
        <v>895</v>
      </c>
    </row>
    <row r="132" spans="1:59">
      <c r="A132" s="401" t="s">
        <v>761</v>
      </c>
      <c r="B132" s="400" t="s">
        <v>763</v>
      </c>
      <c r="C132" s="736">
        <v>13882.44</v>
      </c>
      <c r="D132" s="400" t="s">
        <v>808</v>
      </c>
      <c r="E132" s="736">
        <v>12563.3</v>
      </c>
      <c r="F132" s="789" t="s">
        <v>138</v>
      </c>
      <c r="G132" s="790">
        <v>133</v>
      </c>
      <c r="H132" s="791">
        <f t="shared" si="22"/>
        <v>26.459509289027597</v>
      </c>
      <c r="I132" s="792" t="s">
        <v>496</v>
      </c>
      <c r="O132" s="819"/>
      <c r="R132" s="400" t="s">
        <v>216</v>
      </c>
      <c r="S132" s="820" t="s">
        <v>43</v>
      </c>
      <c r="T132" s="821">
        <v>20</v>
      </c>
      <c r="U132" s="822">
        <v>0</v>
      </c>
      <c r="V132" s="822">
        <v>0</v>
      </c>
      <c r="W132" s="823">
        <v>30</v>
      </c>
      <c r="X132" s="823">
        <v>0</v>
      </c>
      <c r="Y132" s="820" t="s">
        <v>43</v>
      </c>
      <c r="Z132" s="824">
        <f>(4*T132/(PI()*(dn/100)^2)/10)</f>
        <v>3.9788735772973829</v>
      </c>
      <c r="AA132" s="622">
        <v>0</v>
      </c>
      <c r="AB132" s="622">
        <v>0</v>
      </c>
      <c r="AC132" s="825">
        <f t="shared" ref="AC132:AC158" si="23">(4*W132/(PI()*(dn/100)^2)/10)</f>
        <v>5.968310365946075</v>
      </c>
      <c r="AD132" s="825">
        <f t="shared" ref="AD132:AD158" si="24">(4*X132/(PI()*(dn/100)^2)/10)</f>
        <v>0</v>
      </c>
      <c r="AE132" s="826" t="s">
        <v>220</v>
      </c>
      <c r="AF132" s="827">
        <f>MAX(Z132:AD132)</f>
        <v>5.968310365946075</v>
      </c>
      <c r="AG132" s="813" t="e">
        <f t="shared" ref="AG132:AG159" si="25">IF(laufrad_form="F",IF(anlagen_art_duo="ja",EXACT(CONCATENATE($D$36,laufrad_ist_volumen),LEFT(Y132,3)),IF(anlagen_art_duo="nein",EXACT(CONCATENATE($D$36,laufrad_ist_volumen),LEFT(Y132,2)),EXACT(IF(LEFT(Y132,2)="UZ",CONCATENATE("UZ",laufrad_ist_volumen),CONCATENATE("U",laufrad_ist_volumen)),IF(LEFT(Y132,2)="UZ",LEFT(Y132,3),LEFT(Y132,2))))),IF(anlagen_art_duo="ja",EXACT(CONCATENATE($D$36,"S",laufrad_ist_volumen),LEFT(Y132,4)),IF(anlagen_art_duo="nein",EXACT(CONCATENATE($D$36,"S",laufrad_ist_volumen),LEFT(Y132,3)),EXACT(IF(LEFT(Y132,3)="UZS",CONCATENATE("UZ","S",laufrad_ist_volumen),CONCATENATE("U","S",laufrad_ist_volumen)),IF(LEFT(Y132,3)="UZS",LEFT(Y132,4),LEFT(Y132,3))))))</f>
        <v>#VALUE!</v>
      </c>
      <c r="AH132" s="828" t="b">
        <f>MAX(ldl,fh_geo)&lt;Z132</f>
        <v>1</v>
      </c>
      <c r="AI132" s="828"/>
      <c r="AJ132" s="828"/>
      <c r="AK132" s="828"/>
      <c r="AL132" s="828" t="b">
        <f t="shared" ref="AL132:AL158" si="26">IF(vzulauf="nein",FALSE(),MAX(ldl,fh_geo)&lt;AC132)</f>
        <v>1</v>
      </c>
      <c r="AM132" s="828" t="b">
        <f>OR(AH132,AI132,AJ132,AK132,AL132)</f>
        <v>1</v>
      </c>
      <c r="AN132" s="829" t="e">
        <f t="shared" ref="AN132:AN151" si="27">AND(AG132,AM132)</f>
        <v>#VALUE!</v>
      </c>
      <c r="AO132" s="554">
        <v>80</v>
      </c>
      <c r="AP132" s="830">
        <v>26.5</v>
      </c>
      <c r="AQ132" s="830">
        <v>11.1</v>
      </c>
      <c r="AR132" s="655">
        <f>IF(spannung=230,1.01,0.93)</f>
        <v>0.93</v>
      </c>
      <c r="AS132" s="629">
        <v>0.75</v>
      </c>
      <c r="AT132" s="830">
        <f>IF(spannung=230,41,42)</f>
        <v>42</v>
      </c>
      <c r="AU132" s="655" t="s">
        <v>308</v>
      </c>
      <c r="AV132" s="655">
        <v>60</v>
      </c>
      <c r="AW132" s="655" t="s">
        <v>362</v>
      </c>
      <c r="AX132" s="655" t="s">
        <v>316</v>
      </c>
      <c r="AY132" s="655" t="str">
        <f>IF(AX132="Einzel","Einer Tauchmotorpumpe ","Zwei Tauchmotorpumpen ")</f>
        <v xml:space="preserve">Einer Tauchmotorpumpe </v>
      </c>
      <c r="AZ132" s="655" t="s">
        <v>894</v>
      </c>
      <c r="BA132" s="655" t="s">
        <v>322</v>
      </c>
      <c r="BB132" s="655" t="s">
        <v>296</v>
      </c>
      <c r="BC132" s="830" t="str">
        <f t="shared" ref="BC132:BC159" si="28">IF(spannung=230,"Wechsel","Dreh")</f>
        <v>Dreh</v>
      </c>
      <c r="BD132" s="830" t="str">
        <f t="shared" ref="BD132:BD159" si="29">IF(spannung=230,"1/N/PE 230 V 50 Hz","3/N/PE 400 V 50 Hz")</f>
        <v>3/N/PE 400 V 50 Hz</v>
      </c>
      <c r="BE132" s="830" t="str">
        <f t="shared" ref="BE132:BE159" si="30">IF(spannung=230,"1 m mit Schuko Typ E","1 m mit CEE 3/N/PE, 5-pol")</f>
        <v>1 m mit CEE 3/N/PE, 5-pol</v>
      </c>
      <c r="BF132" s="830" t="s">
        <v>335</v>
      </c>
      <c r="BG132" s="831"/>
    </row>
    <row r="133" spans="1:59">
      <c r="A133" s="401" t="s">
        <v>764</v>
      </c>
      <c r="B133" s="400" t="s">
        <v>766</v>
      </c>
      <c r="C133" s="736">
        <v>15645.66</v>
      </c>
      <c r="D133" s="400" t="s">
        <v>809</v>
      </c>
      <c r="E133" s="736">
        <v>14158.97</v>
      </c>
      <c r="F133" s="762" t="s">
        <v>139</v>
      </c>
      <c r="G133" s="763">
        <v>57</v>
      </c>
      <c r="H133" s="793">
        <f t="shared" si="22"/>
        <v>11.339789695297542</v>
      </c>
      <c r="I133" s="765">
        <v>180</v>
      </c>
      <c r="O133" s="819"/>
      <c r="R133" s="400" t="s">
        <v>216</v>
      </c>
      <c r="S133" s="820" t="s">
        <v>44</v>
      </c>
      <c r="T133" s="562">
        <v>30</v>
      </c>
      <c r="U133" s="655">
        <v>44</v>
      </c>
      <c r="V133" s="655">
        <v>0</v>
      </c>
      <c r="W133" s="563">
        <v>62</v>
      </c>
      <c r="X133" s="563">
        <v>0</v>
      </c>
      <c r="Y133" s="820" t="s">
        <v>44</v>
      </c>
      <c r="Z133" s="832">
        <f>(4*T133/(PI()*(dn/100)^2)/10)</f>
        <v>5.968310365946075</v>
      </c>
      <c r="AA133" s="629">
        <f t="shared" ref="AA133:AA158" si="31">(4*U133/(PI()*(dn/100)^2)/10)</f>
        <v>8.753521870054243</v>
      </c>
      <c r="AB133" s="629">
        <v>0</v>
      </c>
      <c r="AC133" s="833">
        <f t="shared" si="23"/>
        <v>12.334508089621888</v>
      </c>
      <c r="AD133" s="833">
        <f t="shared" si="24"/>
        <v>0</v>
      </c>
      <c r="AE133" s="826" t="s">
        <v>220</v>
      </c>
      <c r="AF133" s="834">
        <f t="shared" ref="AF133:AF158" si="32">MAX(Z133:AD133)</f>
        <v>12.334508089621888</v>
      </c>
      <c r="AG133" s="763" t="e">
        <f t="shared" si="25"/>
        <v>#VALUE!</v>
      </c>
      <c r="AH133" s="553" t="b">
        <f>MAX(ldl,fh_geo)&lt;Z133</f>
        <v>1</v>
      </c>
      <c r="AI133" s="553" t="b">
        <f t="shared" ref="AI133:AI148" si="33">MAX(ldl,fh_geo)&lt;AA133</f>
        <v>1</v>
      </c>
      <c r="AJ133" s="553"/>
      <c r="AK133" s="553"/>
      <c r="AL133" s="553" t="b">
        <f t="shared" si="26"/>
        <v>1</v>
      </c>
      <c r="AM133" s="553" t="b">
        <f>OR(AH133,AI133,AJ133,AK133,AL133)</f>
        <v>1</v>
      </c>
      <c r="AN133" s="835" t="e">
        <f t="shared" si="27"/>
        <v>#VALUE!</v>
      </c>
      <c r="AO133" s="554">
        <v>80</v>
      </c>
      <c r="AP133" s="830">
        <v>26.5</v>
      </c>
      <c r="AQ133" s="830">
        <v>11.1</v>
      </c>
      <c r="AR133" s="655">
        <f>IF(spannung=230,1.01,0.93)</f>
        <v>0.93</v>
      </c>
      <c r="AS133" s="629">
        <v>0.75</v>
      </c>
      <c r="AT133" s="830">
        <f>IF(spannung=230,49,48)</f>
        <v>48</v>
      </c>
      <c r="AU133" s="655" t="s">
        <v>309</v>
      </c>
      <c r="AV133" s="655">
        <v>100</v>
      </c>
      <c r="AW133" s="655" t="s">
        <v>363</v>
      </c>
      <c r="AX133" s="655" t="s">
        <v>316</v>
      </c>
      <c r="AY133" s="655" t="str">
        <f t="shared" ref="AY133:AY159" si="34">IF(AX133="Einzel","Einer Tauchmotorpumpe ","Zwei Tauchmotorpumpen ")</f>
        <v xml:space="preserve">Einer Tauchmotorpumpe </v>
      </c>
      <c r="AZ133" s="655" t="s">
        <v>894</v>
      </c>
      <c r="BA133" s="655" t="s">
        <v>322</v>
      </c>
      <c r="BB133" s="655" t="s">
        <v>296</v>
      </c>
      <c r="BC133" s="830" t="str">
        <f t="shared" si="28"/>
        <v>Dreh</v>
      </c>
      <c r="BD133" s="830" t="str">
        <f t="shared" si="29"/>
        <v>3/N/PE 400 V 50 Hz</v>
      </c>
      <c r="BE133" s="830" t="str">
        <f t="shared" si="30"/>
        <v>1 m mit CEE 3/N/PE, 5-pol</v>
      </c>
      <c r="BF133" s="830" t="s">
        <v>336</v>
      </c>
      <c r="BG133" s="831"/>
    </row>
    <row r="134" spans="1:59">
      <c r="A134" s="401" t="s">
        <v>765</v>
      </c>
      <c r="B134" s="400" t="s">
        <v>767</v>
      </c>
      <c r="C134" s="736">
        <v>14873.78</v>
      </c>
      <c r="D134" s="400" t="s">
        <v>810</v>
      </c>
      <c r="E134" s="736">
        <v>13460.43</v>
      </c>
      <c r="F134" s="794" t="s">
        <v>139</v>
      </c>
      <c r="G134" s="553">
        <v>83</v>
      </c>
      <c r="H134" s="795">
        <f t="shared" si="22"/>
        <v>16.512325345784141</v>
      </c>
      <c r="I134" s="796">
        <v>250</v>
      </c>
      <c r="O134" s="819"/>
      <c r="R134" s="400" t="s">
        <v>216</v>
      </c>
      <c r="S134" s="820" t="s">
        <v>45</v>
      </c>
      <c r="T134" s="562">
        <v>30</v>
      </c>
      <c r="U134" s="655">
        <v>44</v>
      </c>
      <c r="V134" s="655">
        <v>0</v>
      </c>
      <c r="W134" s="563">
        <v>62</v>
      </c>
      <c r="X134" s="563">
        <v>0</v>
      </c>
      <c r="Y134" s="820" t="s">
        <v>45</v>
      </c>
      <c r="Z134" s="832">
        <f>(4*T134/(PI()*(dn/100)^2)/10)</f>
        <v>5.968310365946075</v>
      </c>
      <c r="AA134" s="629">
        <f t="shared" si="31"/>
        <v>8.753521870054243</v>
      </c>
      <c r="AB134" s="629">
        <v>0</v>
      </c>
      <c r="AC134" s="833">
        <f t="shared" si="23"/>
        <v>12.334508089621888</v>
      </c>
      <c r="AD134" s="833">
        <f t="shared" si="24"/>
        <v>0</v>
      </c>
      <c r="AE134" s="826" t="s">
        <v>220</v>
      </c>
      <c r="AF134" s="834">
        <f t="shared" si="32"/>
        <v>12.334508089621888</v>
      </c>
      <c r="AG134" s="763" t="e">
        <f t="shared" si="25"/>
        <v>#VALUE!</v>
      </c>
      <c r="AH134" s="553" t="b">
        <f>MAX(ldl,fh_geo)&lt;Z134</f>
        <v>1</v>
      </c>
      <c r="AI134" s="553" t="b">
        <f t="shared" si="33"/>
        <v>1</v>
      </c>
      <c r="AJ134" s="553"/>
      <c r="AK134" s="553"/>
      <c r="AL134" s="553" t="b">
        <f t="shared" si="26"/>
        <v>1</v>
      </c>
      <c r="AM134" s="553" t="b">
        <f t="shared" ref="AM134:AM151" si="35">OR(AH134,AI134,AJ134,AK134,AL134)</f>
        <v>1</v>
      </c>
      <c r="AN134" s="835" t="e">
        <f t="shared" si="27"/>
        <v>#VALUE!</v>
      </c>
      <c r="AO134" s="554">
        <v>80</v>
      </c>
      <c r="AP134" s="830">
        <v>36</v>
      </c>
      <c r="AQ134" s="830">
        <v>16</v>
      </c>
      <c r="AR134" s="655">
        <f>IF(spannung=230,2,1.75)</f>
        <v>1.75</v>
      </c>
      <c r="AS134" s="629">
        <v>1.5</v>
      </c>
      <c r="AT134" s="830">
        <f>IF(spannung=230,50,49)</f>
        <v>49</v>
      </c>
      <c r="AU134" s="655" t="s">
        <v>309</v>
      </c>
      <c r="AV134" s="655">
        <v>100</v>
      </c>
      <c r="AW134" s="655" t="s">
        <v>363</v>
      </c>
      <c r="AX134" s="655" t="s">
        <v>316</v>
      </c>
      <c r="AY134" s="655" t="str">
        <f t="shared" si="34"/>
        <v xml:space="preserve">Einer Tauchmotorpumpe </v>
      </c>
      <c r="AZ134" s="655" t="s">
        <v>894</v>
      </c>
      <c r="BA134" s="655" t="s">
        <v>322</v>
      </c>
      <c r="BB134" s="655" t="s">
        <v>296</v>
      </c>
      <c r="BC134" s="830" t="str">
        <f t="shared" si="28"/>
        <v>Dreh</v>
      </c>
      <c r="BD134" s="830" t="str">
        <f t="shared" si="29"/>
        <v>3/N/PE 400 V 50 Hz</v>
      </c>
      <c r="BE134" s="830" t="str">
        <f t="shared" si="30"/>
        <v>1 m mit CEE 3/N/PE, 5-pol</v>
      </c>
      <c r="BF134" s="830" t="s">
        <v>336</v>
      </c>
      <c r="BG134" s="831"/>
    </row>
    <row r="135" spans="1:59">
      <c r="A135" s="400" t="s">
        <v>797</v>
      </c>
      <c r="B135" s="400" t="s">
        <v>799</v>
      </c>
      <c r="C135" s="736">
        <v>8315.99</v>
      </c>
      <c r="D135" s="400" t="s">
        <v>811</v>
      </c>
      <c r="E135" s="736">
        <v>7525.78</v>
      </c>
      <c r="F135" s="797" t="s">
        <v>139</v>
      </c>
      <c r="G135" s="798" t="s">
        <v>125</v>
      </c>
      <c r="H135" s="799" t="str">
        <f t="shared" si="22"/>
        <v>n.v</v>
      </c>
      <c r="I135" s="800">
        <v>320</v>
      </c>
      <c r="O135" s="819"/>
      <c r="R135" s="598" t="s">
        <v>216</v>
      </c>
      <c r="S135" s="820" t="str">
        <f>IF($R135="n",,"UZ1.150")</f>
        <v>UZ1.150</v>
      </c>
      <c r="T135" s="562">
        <v>57</v>
      </c>
      <c r="U135" s="655">
        <v>83</v>
      </c>
      <c r="V135" s="655">
        <v>0</v>
      </c>
      <c r="W135" s="563">
        <v>91</v>
      </c>
      <c r="X135" s="563">
        <v>0</v>
      </c>
      <c r="Y135" s="820" t="str">
        <f>IF($R135="n",,"UZ1.150")</f>
        <v>UZ1.150</v>
      </c>
      <c r="Z135" s="832">
        <f>(4*T135/(PI()*(dn/100)^2)/10)</f>
        <v>11.339789695297542</v>
      </c>
      <c r="AA135" s="629">
        <f t="shared" si="31"/>
        <v>16.512325345784141</v>
      </c>
      <c r="AB135" s="629">
        <v>0</v>
      </c>
      <c r="AC135" s="833">
        <f t="shared" si="23"/>
        <v>18.103874776703094</v>
      </c>
      <c r="AD135" s="833">
        <f t="shared" si="24"/>
        <v>0</v>
      </c>
      <c r="AE135" s="826" t="s">
        <v>220</v>
      </c>
      <c r="AF135" s="834">
        <f t="shared" si="32"/>
        <v>18.103874776703094</v>
      </c>
      <c r="AG135" s="763" t="e">
        <f t="shared" si="25"/>
        <v>#VALUE!</v>
      </c>
      <c r="AH135" s="553" t="b">
        <f>MAX(ldl,fh_geo)&lt;Z135</f>
        <v>1</v>
      </c>
      <c r="AI135" s="553" t="b">
        <f t="shared" si="33"/>
        <v>1</v>
      </c>
      <c r="AJ135" s="553"/>
      <c r="AK135" s="553"/>
      <c r="AL135" s="553" t="b">
        <f t="shared" si="26"/>
        <v>1</v>
      </c>
      <c r="AM135" s="553" t="b">
        <f t="shared" si="35"/>
        <v>1</v>
      </c>
      <c r="AN135" s="835" t="e">
        <f t="shared" si="27"/>
        <v>#VALUE!</v>
      </c>
      <c r="AO135" s="554">
        <v>80</v>
      </c>
      <c r="AP135" s="830">
        <v>26.5</v>
      </c>
      <c r="AQ135" s="830">
        <v>11.1</v>
      </c>
      <c r="AR135" s="655">
        <f>IF(spannung=230,1.01,0.93)</f>
        <v>0.93</v>
      </c>
      <c r="AS135" s="629">
        <v>0.75</v>
      </c>
      <c r="AT135" s="830">
        <f>IF(spannung=230,111,100)</f>
        <v>100</v>
      </c>
      <c r="AU135" s="655" t="s">
        <v>310</v>
      </c>
      <c r="AV135" s="655">
        <v>150</v>
      </c>
      <c r="AW135" s="655" t="s">
        <v>364</v>
      </c>
      <c r="AX135" s="655" t="s">
        <v>317</v>
      </c>
      <c r="AY135" s="655" t="str">
        <f t="shared" si="34"/>
        <v xml:space="preserve">Zwei Tauchmotorpumpen </v>
      </c>
      <c r="AZ135" s="655" t="s">
        <v>894</v>
      </c>
      <c r="BA135" s="655" t="s">
        <v>322</v>
      </c>
      <c r="BB135" s="655" t="s">
        <v>296</v>
      </c>
      <c r="BC135" s="830" t="str">
        <f t="shared" si="28"/>
        <v>Dreh</v>
      </c>
      <c r="BD135" s="830" t="str">
        <f t="shared" si="29"/>
        <v>3/N/PE 400 V 50 Hz</v>
      </c>
      <c r="BE135" s="830" t="str">
        <f t="shared" si="30"/>
        <v>1 m mit CEE 3/N/PE, 5-pol</v>
      </c>
      <c r="BF135" s="830" t="s">
        <v>328</v>
      </c>
      <c r="BG135" s="831"/>
    </row>
    <row r="136" spans="1:59">
      <c r="A136" s="400" t="s">
        <v>800</v>
      </c>
      <c r="B136" s="400" t="s">
        <v>798</v>
      </c>
      <c r="C136" s="736">
        <v>8019.22</v>
      </c>
      <c r="D136" s="400" t="s">
        <v>812</v>
      </c>
      <c r="E136" s="736">
        <v>7257.21</v>
      </c>
      <c r="F136" s="789" t="s">
        <v>139</v>
      </c>
      <c r="G136" s="790">
        <v>91</v>
      </c>
      <c r="H136" s="791">
        <f t="shared" si="22"/>
        <v>18.103874776703094</v>
      </c>
      <c r="I136" s="792" t="s">
        <v>496</v>
      </c>
      <c r="O136" s="819"/>
      <c r="R136" s="598" t="s">
        <v>216</v>
      </c>
      <c r="S136" s="820" t="str">
        <f>IF($R136="n",,"UZ2.150")</f>
        <v>UZ2.150</v>
      </c>
      <c r="T136" s="562">
        <v>57</v>
      </c>
      <c r="U136" s="655">
        <v>83</v>
      </c>
      <c r="V136" s="655">
        <v>0</v>
      </c>
      <c r="W136" s="563">
        <v>91</v>
      </c>
      <c r="X136" s="563">
        <v>0</v>
      </c>
      <c r="Y136" s="820" t="str">
        <f>IF($R136="n",,"UZ2.150")</f>
        <v>UZ2.150</v>
      </c>
      <c r="Z136" s="832">
        <f>(4*T136/(PI()*(dn/100)^2)/10)</f>
        <v>11.339789695297542</v>
      </c>
      <c r="AA136" s="629">
        <f t="shared" si="31"/>
        <v>16.512325345784141</v>
      </c>
      <c r="AB136" s="629">
        <v>0</v>
      </c>
      <c r="AC136" s="833">
        <f t="shared" si="23"/>
        <v>18.103874776703094</v>
      </c>
      <c r="AD136" s="833">
        <f t="shared" si="24"/>
        <v>0</v>
      </c>
      <c r="AE136" s="826" t="s">
        <v>220</v>
      </c>
      <c r="AF136" s="834">
        <f t="shared" si="32"/>
        <v>18.103874776703094</v>
      </c>
      <c r="AG136" s="763" t="e">
        <f t="shared" si="25"/>
        <v>#VALUE!</v>
      </c>
      <c r="AH136" s="553" t="b">
        <f>MAX(ldl,fh_geo)&lt;Z136</f>
        <v>1</v>
      </c>
      <c r="AI136" s="553" t="b">
        <f t="shared" si="33"/>
        <v>1</v>
      </c>
      <c r="AJ136" s="553"/>
      <c r="AK136" s="553"/>
      <c r="AL136" s="553" t="b">
        <f t="shared" si="26"/>
        <v>1</v>
      </c>
      <c r="AM136" s="553" t="b">
        <f t="shared" si="35"/>
        <v>1</v>
      </c>
      <c r="AN136" s="835" t="e">
        <f t="shared" si="27"/>
        <v>#VALUE!</v>
      </c>
      <c r="AO136" s="554">
        <v>80</v>
      </c>
      <c r="AP136" s="830">
        <v>36</v>
      </c>
      <c r="AQ136" s="830">
        <v>16</v>
      </c>
      <c r="AR136" s="655">
        <f>IF(spannung=230,2,1.75)</f>
        <v>1.75</v>
      </c>
      <c r="AS136" s="629">
        <v>1.5</v>
      </c>
      <c r="AT136" s="830">
        <f>IF(spannung=230,128,117)</f>
        <v>117</v>
      </c>
      <c r="AU136" s="655" t="s">
        <v>310</v>
      </c>
      <c r="AV136" s="655">
        <v>150</v>
      </c>
      <c r="AW136" s="655" t="s">
        <v>364</v>
      </c>
      <c r="AX136" s="655" t="s">
        <v>317</v>
      </c>
      <c r="AY136" s="655" t="str">
        <f t="shared" si="34"/>
        <v xml:space="preserve">Zwei Tauchmotorpumpen </v>
      </c>
      <c r="AZ136" s="655" t="s">
        <v>894</v>
      </c>
      <c r="BA136" s="655" t="s">
        <v>322</v>
      </c>
      <c r="BB136" s="655" t="s">
        <v>296</v>
      </c>
      <c r="BC136" s="830" t="str">
        <f t="shared" si="28"/>
        <v>Dreh</v>
      </c>
      <c r="BD136" s="830" t="str">
        <f t="shared" si="29"/>
        <v>3/N/PE 400 V 50 Hz</v>
      </c>
      <c r="BE136" s="830" t="str">
        <f t="shared" si="30"/>
        <v>1 m mit CEE 3/N/PE, 5-pol</v>
      </c>
      <c r="BF136" s="830" t="s">
        <v>328</v>
      </c>
      <c r="BG136" s="831"/>
    </row>
    <row r="137" spans="1:59">
      <c r="A137" s="400" t="s">
        <v>813</v>
      </c>
      <c r="B137" s="400" t="s">
        <v>815</v>
      </c>
      <c r="C137" s="736">
        <v>8723.4599999999991</v>
      </c>
      <c r="D137" s="400" t="s">
        <v>817</v>
      </c>
      <c r="E137" s="736">
        <v>7894.54</v>
      </c>
      <c r="F137" s="762" t="s">
        <v>140</v>
      </c>
      <c r="G137" s="763">
        <v>57</v>
      </c>
      <c r="H137" s="793">
        <f t="shared" si="22"/>
        <v>11.339789695297542</v>
      </c>
      <c r="I137" s="765">
        <v>180</v>
      </c>
      <c r="O137" s="819"/>
      <c r="R137" s="400" t="s">
        <v>216</v>
      </c>
      <c r="S137" s="820" t="str">
        <f>IF($R137="n",,"U3.100")</f>
        <v>U3.100</v>
      </c>
      <c r="T137" s="562">
        <v>0</v>
      </c>
      <c r="U137" s="655">
        <v>38</v>
      </c>
      <c r="V137" s="655">
        <v>0</v>
      </c>
      <c r="W137" s="563">
        <v>58</v>
      </c>
      <c r="X137" s="563">
        <v>0</v>
      </c>
      <c r="Y137" s="820" t="str">
        <f>IF($R137="n",,"U3.100")</f>
        <v>U3.100</v>
      </c>
      <c r="Z137" s="832">
        <v>0</v>
      </c>
      <c r="AA137" s="629">
        <f t="shared" si="31"/>
        <v>7.5598597968650285</v>
      </c>
      <c r="AB137" s="629">
        <v>0</v>
      </c>
      <c r="AC137" s="833">
        <f t="shared" si="23"/>
        <v>11.538733374162412</v>
      </c>
      <c r="AD137" s="833">
        <f t="shared" si="24"/>
        <v>0</v>
      </c>
      <c r="AE137" s="826" t="s">
        <v>221</v>
      </c>
      <c r="AF137" s="834">
        <f t="shared" si="32"/>
        <v>11.538733374162412</v>
      </c>
      <c r="AG137" s="763" t="e">
        <f t="shared" si="25"/>
        <v>#VALUE!</v>
      </c>
      <c r="AH137" s="553"/>
      <c r="AI137" s="553" t="b">
        <f t="shared" si="33"/>
        <v>1</v>
      </c>
      <c r="AJ137" s="553"/>
      <c r="AK137" s="553"/>
      <c r="AL137" s="553" t="b">
        <f t="shared" si="26"/>
        <v>1</v>
      </c>
      <c r="AM137" s="553" t="b">
        <f t="shared" si="35"/>
        <v>1</v>
      </c>
      <c r="AN137" s="835" t="e">
        <f t="shared" si="27"/>
        <v>#VALUE!</v>
      </c>
      <c r="AO137" s="554">
        <v>80</v>
      </c>
      <c r="AP137" s="830">
        <v>55</v>
      </c>
      <c r="AQ137" s="830">
        <v>12.5</v>
      </c>
      <c r="AR137" s="629">
        <v>2.74</v>
      </c>
      <c r="AS137" s="629">
        <v>2.15</v>
      </c>
      <c r="AT137" s="830">
        <v>80</v>
      </c>
      <c r="AU137" s="655" t="s">
        <v>309</v>
      </c>
      <c r="AV137" s="655">
        <v>100</v>
      </c>
      <c r="AW137" s="655" t="s">
        <v>363</v>
      </c>
      <c r="AX137" s="655" t="s">
        <v>316</v>
      </c>
      <c r="AY137" s="655" t="str">
        <f t="shared" si="34"/>
        <v xml:space="preserve">Einer Tauchmotorpumpe </v>
      </c>
      <c r="AZ137" s="655" t="s">
        <v>320</v>
      </c>
      <c r="BA137" s="400" t="s">
        <v>294</v>
      </c>
      <c r="BB137" s="400" t="s">
        <v>295</v>
      </c>
      <c r="BC137" s="830" t="str">
        <f t="shared" si="28"/>
        <v>Dreh</v>
      </c>
      <c r="BD137" s="830" t="str">
        <f t="shared" si="29"/>
        <v>3/N/PE 400 V 50 Hz</v>
      </c>
      <c r="BE137" s="830" t="str">
        <f t="shared" si="30"/>
        <v>1 m mit CEE 3/N/PE, 5-pol</v>
      </c>
      <c r="BF137" s="830" t="s">
        <v>327</v>
      </c>
      <c r="BG137" s="831"/>
    </row>
    <row r="138" spans="1:59">
      <c r="A138" s="400" t="s">
        <v>814</v>
      </c>
      <c r="B138" s="400" t="s">
        <v>816</v>
      </c>
      <c r="C138" s="736">
        <v>8540.4500000000007</v>
      </c>
      <c r="D138" s="400" t="s">
        <v>818</v>
      </c>
      <c r="E138" s="736">
        <v>7728.92</v>
      </c>
      <c r="F138" s="794" t="s">
        <v>140</v>
      </c>
      <c r="G138" s="553">
        <v>83</v>
      </c>
      <c r="H138" s="795">
        <f t="shared" si="22"/>
        <v>16.512325345784141</v>
      </c>
      <c r="I138" s="796">
        <v>250</v>
      </c>
      <c r="O138" s="819"/>
      <c r="R138" s="400" t="s">
        <v>216</v>
      </c>
      <c r="S138" s="820" t="str">
        <f>IF($R138="n",,"U4.100")</f>
        <v>U4.100</v>
      </c>
      <c r="T138" s="562">
        <v>0</v>
      </c>
      <c r="U138" s="655">
        <v>38</v>
      </c>
      <c r="V138" s="655">
        <v>0</v>
      </c>
      <c r="W138" s="563">
        <v>58</v>
      </c>
      <c r="X138" s="563">
        <v>0</v>
      </c>
      <c r="Y138" s="820" t="str">
        <f>IF($R138="n",,"U4.100")</f>
        <v>U4.100</v>
      </c>
      <c r="Z138" s="832">
        <v>0</v>
      </c>
      <c r="AA138" s="629">
        <f t="shared" si="31"/>
        <v>7.5598597968650285</v>
      </c>
      <c r="AB138" s="629">
        <v>0</v>
      </c>
      <c r="AC138" s="833">
        <f t="shared" si="23"/>
        <v>11.538733374162412</v>
      </c>
      <c r="AD138" s="833">
        <f t="shared" si="24"/>
        <v>0</v>
      </c>
      <c r="AE138" s="826" t="s">
        <v>221</v>
      </c>
      <c r="AF138" s="834">
        <f t="shared" si="32"/>
        <v>11.538733374162412</v>
      </c>
      <c r="AG138" s="763" t="e">
        <f t="shared" si="25"/>
        <v>#VALUE!</v>
      </c>
      <c r="AH138" s="553"/>
      <c r="AI138" s="553" t="b">
        <f t="shared" si="33"/>
        <v>1</v>
      </c>
      <c r="AJ138" s="553"/>
      <c r="AK138" s="553"/>
      <c r="AL138" s="553" t="b">
        <f t="shared" si="26"/>
        <v>1</v>
      </c>
      <c r="AM138" s="553" t="b">
        <f t="shared" si="35"/>
        <v>1</v>
      </c>
      <c r="AN138" s="835" t="e">
        <f t="shared" si="27"/>
        <v>#VALUE!</v>
      </c>
      <c r="AO138" s="554">
        <v>80</v>
      </c>
      <c r="AP138" s="830">
        <v>60</v>
      </c>
      <c r="AQ138" s="830">
        <v>17.2</v>
      </c>
      <c r="AR138" s="629">
        <v>3.72</v>
      </c>
      <c r="AS138" s="629">
        <v>3</v>
      </c>
      <c r="AT138" s="830">
        <v>82</v>
      </c>
      <c r="AU138" s="655" t="s">
        <v>309</v>
      </c>
      <c r="AV138" s="655">
        <v>100</v>
      </c>
      <c r="AW138" s="655" t="s">
        <v>363</v>
      </c>
      <c r="AX138" s="655" t="s">
        <v>316</v>
      </c>
      <c r="AY138" s="655" t="str">
        <f t="shared" si="34"/>
        <v xml:space="preserve">Einer Tauchmotorpumpe </v>
      </c>
      <c r="AZ138" s="655" t="s">
        <v>320</v>
      </c>
      <c r="BA138" s="400" t="s">
        <v>294</v>
      </c>
      <c r="BB138" s="400" t="s">
        <v>295</v>
      </c>
      <c r="BC138" s="830" t="str">
        <f t="shared" si="28"/>
        <v>Dreh</v>
      </c>
      <c r="BD138" s="830" t="str">
        <f t="shared" si="29"/>
        <v>3/N/PE 400 V 50 Hz</v>
      </c>
      <c r="BE138" s="830" t="str">
        <f t="shared" si="30"/>
        <v>1 m mit CEE 3/N/PE, 5-pol</v>
      </c>
      <c r="BF138" s="830" t="s">
        <v>327</v>
      </c>
      <c r="BG138" s="831"/>
    </row>
    <row r="139" spans="1:59">
      <c r="A139" s="400" t="s">
        <v>819</v>
      </c>
      <c r="B139" s="400" t="s">
        <v>821</v>
      </c>
      <c r="C139" s="736">
        <v>8622.51</v>
      </c>
      <c r="D139" s="400" t="s">
        <v>822</v>
      </c>
      <c r="E139" s="736">
        <v>7803.18</v>
      </c>
      <c r="F139" s="797" t="s">
        <v>140</v>
      </c>
      <c r="G139" s="798" t="s">
        <v>125</v>
      </c>
      <c r="H139" s="799" t="str">
        <f t="shared" si="22"/>
        <v>n.v</v>
      </c>
      <c r="I139" s="800">
        <v>320</v>
      </c>
      <c r="O139" s="819"/>
      <c r="R139" s="400" t="s">
        <v>216</v>
      </c>
      <c r="S139" s="820" t="str">
        <f>IF($R139="n",,"U5.100")</f>
        <v>U5.100</v>
      </c>
      <c r="T139" s="562">
        <v>0</v>
      </c>
      <c r="U139" s="655">
        <v>38</v>
      </c>
      <c r="V139" s="655">
        <v>0</v>
      </c>
      <c r="W139" s="563">
        <v>58</v>
      </c>
      <c r="X139" s="563">
        <v>0</v>
      </c>
      <c r="Y139" s="820" t="str">
        <f>IF($R139="n",,"U5.100")</f>
        <v>U5.100</v>
      </c>
      <c r="Z139" s="832">
        <v>0</v>
      </c>
      <c r="AA139" s="629">
        <f t="shared" si="31"/>
        <v>7.5598597968650285</v>
      </c>
      <c r="AB139" s="629">
        <v>0</v>
      </c>
      <c r="AC139" s="833">
        <f t="shared" si="23"/>
        <v>11.538733374162412</v>
      </c>
      <c r="AD139" s="833">
        <f t="shared" si="24"/>
        <v>0</v>
      </c>
      <c r="AE139" s="826" t="s">
        <v>221</v>
      </c>
      <c r="AF139" s="834">
        <f t="shared" si="32"/>
        <v>11.538733374162412</v>
      </c>
      <c r="AG139" s="763" t="e">
        <f t="shared" si="25"/>
        <v>#VALUE!</v>
      </c>
      <c r="AH139" s="553"/>
      <c r="AI139" s="553" t="b">
        <f t="shared" si="33"/>
        <v>1</v>
      </c>
      <c r="AJ139" s="553"/>
      <c r="AK139" s="553"/>
      <c r="AL139" s="553" t="b">
        <f t="shared" si="26"/>
        <v>1</v>
      </c>
      <c r="AM139" s="553" t="b">
        <f t="shared" si="35"/>
        <v>1</v>
      </c>
      <c r="AN139" s="835" t="e">
        <f t="shared" si="27"/>
        <v>#VALUE!</v>
      </c>
      <c r="AO139" s="554">
        <v>80</v>
      </c>
      <c r="AP139" s="830">
        <v>71.5</v>
      </c>
      <c r="AQ139" s="830">
        <v>23</v>
      </c>
      <c r="AR139" s="629">
        <v>5.2</v>
      </c>
      <c r="AS139" s="629">
        <v>4.2</v>
      </c>
      <c r="AT139" s="830">
        <v>84</v>
      </c>
      <c r="AU139" s="655" t="s">
        <v>309</v>
      </c>
      <c r="AV139" s="655">
        <v>100</v>
      </c>
      <c r="AW139" s="655" t="s">
        <v>363</v>
      </c>
      <c r="AX139" s="655" t="s">
        <v>316</v>
      </c>
      <c r="AY139" s="655" t="str">
        <f t="shared" si="34"/>
        <v xml:space="preserve">Einer Tauchmotorpumpe </v>
      </c>
      <c r="AZ139" s="655" t="s">
        <v>320</v>
      </c>
      <c r="BA139" s="400" t="s">
        <v>294</v>
      </c>
      <c r="BB139" s="400" t="s">
        <v>295</v>
      </c>
      <c r="BC139" s="830" t="str">
        <f t="shared" si="28"/>
        <v>Dreh</v>
      </c>
      <c r="BD139" s="830" t="str">
        <f t="shared" si="29"/>
        <v>3/N/PE 400 V 50 Hz</v>
      </c>
      <c r="BE139" s="830" t="str">
        <f t="shared" si="30"/>
        <v>1 m mit CEE 3/N/PE, 5-pol</v>
      </c>
      <c r="BF139" s="830" t="s">
        <v>327</v>
      </c>
      <c r="BG139" s="831"/>
    </row>
    <row r="140" spans="1:59">
      <c r="A140" s="400" t="s">
        <v>820</v>
      </c>
      <c r="B140" s="400" t="s">
        <v>823</v>
      </c>
      <c r="C140" s="736">
        <v>8660.06</v>
      </c>
      <c r="D140" s="400" t="s">
        <v>842</v>
      </c>
      <c r="E140" s="736">
        <v>7837.16</v>
      </c>
      <c r="F140" s="789" t="s">
        <v>140</v>
      </c>
      <c r="G140" s="790">
        <v>91</v>
      </c>
      <c r="H140" s="791">
        <f t="shared" si="22"/>
        <v>18.103874776703094</v>
      </c>
      <c r="I140" s="792" t="s">
        <v>496</v>
      </c>
      <c r="O140" s="819"/>
      <c r="R140" s="400" t="s">
        <v>216</v>
      </c>
      <c r="S140" s="820" t="str">
        <f>IF($R140="n",,"UZ3.150")</f>
        <v>UZ3.150</v>
      </c>
      <c r="T140" s="562">
        <v>0</v>
      </c>
      <c r="U140" s="655">
        <v>65</v>
      </c>
      <c r="V140" s="655">
        <v>0</v>
      </c>
      <c r="W140" s="563">
        <v>75</v>
      </c>
      <c r="X140" s="563">
        <v>0</v>
      </c>
      <c r="Y140" s="820" t="str">
        <f>IF($R140="n",,"UZ3.150")</f>
        <v>UZ3.150</v>
      </c>
      <c r="Z140" s="832">
        <v>0</v>
      </c>
      <c r="AA140" s="629">
        <f t="shared" si="31"/>
        <v>12.931339126216495</v>
      </c>
      <c r="AB140" s="629">
        <v>0</v>
      </c>
      <c r="AC140" s="833">
        <f t="shared" si="23"/>
        <v>14.920775914865185</v>
      </c>
      <c r="AD140" s="833">
        <f t="shared" si="24"/>
        <v>0</v>
      </c>
      <c r="AE140" s="826" t="s">
        <v>221</v>
      </c>
      <c r="AF140" s="834">
        <f t="shared" si="32"/>
        <v>14.920775914865185</v>
      </c>
      <c r="AG140" s="763" t="e">
        <f t="shared" si="25"/>
        <v>#VALUE!</v>
      </c>
      <c r="AH140" s="553"/>
      <c r="AI140" s="553" t="b">
        <f t="shared" si="33"/>
        <v>1</v>
      </c>
      <c r="AJ140" s="553"/>
      <c r="AK140" s="553"/>
      <c r="AL140" s="553" t="b">
        <f t="shared" si="26"/>
        <v>1</v>
      </c>
      <c r="AM140" s="553" t="b">
        <f t="shared" si="35"/>
        <v>1</v>
      </c>
      <c r="AN140" s="835" t="e">
        <f t="shared" si="27"/>
        <v>#VALUE!</v>
      </c>
      <c r="AO140" s="554">
        <v>80</v>
      </c>
      <c r="AP140" s="830">
        <v>55</v>
      </c>
      <c r="AQ140" s="830">
        <v>12.5</v>
      </c>
      <c r="AR140" s="629">
        <v>2.74</v>
      </c>
      <c r="AS140" s="629">
        <v>2.15</v>
      </c>
      <c r="AT140" s="830">
        <v>151</v>
      </c>
      <c r="AU140" s="655" t="s">
        <v>310</v>
      </c>
      <c r="AV140" s="655">
        <v>150</v>
      </c>
      <c r="AW140" s="655" t="s">
        <v>367</v>
      </c>
      <c r="AX140" s="655" t="s">
        <v>317</v>
      </c>
      <c r="AY140" s="655" t="str">
        <f t="shared" si="34"/>
        <v xml:space="preserve">Zwei Tauchmotorpumpen </v>
      </c>
      <c r="AZ140" s="655" t="s">
        <v>320</v>
      </c>
      <c r="BA140" s="400" t="s">
        <v>294</v>
      </c>
      <c r="BB140" s="400" t="s">
        <v>295</v>
      </c>
      <c r="BC140" s="830" t="str">
        <f t="shared" si="28"/>
        <v>Dreh</v>
      </c>
      <c r="BD140" s="830" t="str">
        <f t="shared" si="29"/>
        <v>3/N/PE 400 V 50 Hz</v>
      </c>
      <c r="BE140" s="830" t="str">
        <f t="shared" si="30"/>
        <v>1 m mit CEE 3/N/PE, 5-pol</v>
      </c>
      <c r="BF140" s="830" t="s">
        <v>328</v>
      </c>
      <c r="BG140" s="831"/>
    </row>
    <row r="141" spans="1:59">
      <c r="A141" s="400" t="s">
        <v>824</v>
      </c>
      <c r="B141" s="761" t="s">
        <v>830</v>
      </c>
      <c r="C141" s="736">
        <v>13926.64</v>
      </c>
      <c r="D141" s="400" t="s">
        <v>836</v>
      </c>
      <c r="E141" s="736">
        <v>12603.3</v>
      </c>
      <c r="F141" s="762" t="s">
        <v>141</v>
      </c>
      <c r="G141" s="763" t="s">
        <v>125</v>
      </c>
      <c r="H141" s="793" t="str">
        <f t="shared" si="22"/>
        <v>n.v</v>
      </c>
      <c r="I141" s="765">
        <v>180</v>
      </c>
      <c r="O141" s="819"/>
      <c r="R141" s="400" t="s">
        <v>216</v>
      </c>
      <c r="S141" s="820" t="str">
        <f>IF($R141="n",,"UZ4.150")</f>
        <v>UZ4.150</v>
      </c>
      <c r="T141" s="562">
        <v>0</v>
      </c>
      <c r="U141" s="655">
        <v>65</v>
      </c>
      <c r="V141" s="655">
        <v>0</v>
      </c>
      <c r="W141" s="563">
        <v>75</v>
      </c>
      <c r="X141" s="563">
        <v>0</v>
      </c>
      <c r="Y141" s="820" t="str">
        <f>IF($R140="n",,"UZ4.150")</f>
        <v>UZ4.150</v>
      </c>
      <c r="Z141" s="832">
        <v>0</v>
      </c>
      <c r="AA141" s="629">
        <f t="shared" si="31"/>
        <v>12.931339126216495</v>
      </c>
      <c r="AB141" s="629">
        <v>0</v>
      </c>
      <c r="AC141" s="833">
        <f t="shared" si="23"/>
        <v>14.920775914865185</v>
      </c>
      <c r="AD141" s="833">
        <f t="shared" si="24"/>
        <v>0</v>
      </c>
      <c r="AE141" s="826" t="s">
        <v>221</v>
      </c>
      <c r="AF141" s="834">
        <f t="shared" si="32"/>
        <v>14.920775914865185</v>
      </c>
      <c r="AG141" s="763" t="e">
        <f t="shared" si="25"/>
        <v>#VALUE!</v>
      </c>
      <c r="AH141" s="553"/>
      <c r="AI141" s="553" t="b">
        <f t="shared" si="33"/>
        <v>1</v>
      </c>
      <c r="AJ141" s="553"/>
      <c r="AK141" s="553"/>
      <c r="AL141" s="553" t="b">
        <f t="shared" si="26"/>
        <v>1</v>
      </c>
      <c r="AM141" s="553" t="b">
        <f t="shared" si="35"/>
        <v>1</v>
      </c>
      <c r="AN141" s="835" t="e">
        <f t="shared" si="27"/>
        <v>#VALUE!</v>
      </c>
      <c r="AO141" s="554">
        <v>80</v>
      </c>
      <c r="AP141" s="830">
        <v>60</v>
      </c>
      <c r="AQ141" s="830">
        <v>17.2</v>
      </c>
      <c r="AR141" s="629">
        <v>3.72</v>
      </c>
      <c r="AS141" s="629">
        <v>3</v>
      </c>
      <c r="AT141" s="830">
        <v>155</v>
      </c>
      <c r="AU141" s="655" t="s">
        <v>310</v>
      </c>
      <c r="AV141" s="655">
        <v>150</v>
      </c>
      <c r="AW141" s="655" t="s">
        <v>367</v>
      </c>
      <c r="AX141" s="655" t="s">
        <v>317</v>
      </c>
      <c r="AY141" s="655" t="str">
        <f t="shared" si="34"/>
        <v xml:space="preserve">Zwei Tauchmotorpumpen </v>
      </c>
      <c r="AZ141" s="655" t="s">
        <v>320</v>
      </c>
      <c r="BA141" s="400" t="s">
        <v>294</v>
      </c>
      <c r="BB141" s="400" t="s">
        <v>295</v>
      </c>
      <c r="BC141" s="830" t="str">
        <f t="shared" si="28"/>
        <v>Dreh</v>
      </c>
      <c r="BD141" s="830" t="str">
        <f t="shared" si="29"/>
        <v>3/N/PE 400 V 50 Hz</v>
      </c>
      <c r="BE141" s="830" t="str">
        <f t="shared" si="30"/>
        <v>1 m mit CEE 3/N/PE, 5-pol</v>
      </c>
      <c r="BF141" s="830" t="s">
        <v>328</v>
      </c>
      <c r="BG141" s="831"/>
    </row>
    <row r="142" spans="1:59">
      <c r="A142" s="400" t="s">
        <v>825</v>
      </c>
      <c r="B142" s="761" t="s">
        <v>831</v>
      </c>
      <c r="C142" s="736">
        <v>14325.07</v>
      </c>
      <c r="D142" s="400" t="s">
        <v>837</v>
      </c>
      <c r="E142" s="736">
        <v>12963.86</v>
      </c>
      <c r="F142" s="794" t="s">
        <v>141</v>
      </c>
      <c r="G142" s="553">
        <v>65</v>
      </c>
      <c r="H142" s="795">
        <f t="shared" si="22"/>
        <v>12.931339126216495</v>
      </c>
      <c r="I142" s="796">
        <v>250</v>
      </c>
      <c r="O142" s="819"/>
      <c r="R142" s="400" t="s">
        <v>216</v>
      </c>
      <c r="S142" s="820" t="str">
        <f>IF($R142="n",,"UZ5.150")</f>
        <v>UZ5.150</v>
      </c>
      <c r="T142" s="562">
        <v>0</v>
      </c>
      <c r="U142" s="655">
        <v>65</v>
      </c>
      <c r="V142" s="655">
        <v>0</v>
      </c>
      <c r="W142" s="563">
        <v>75</v>
      </c>
      <c r="X142" s="563">
        <v>0</v>
      </c>
      <c r="Y142" s="820" t="str">
        <f>IF($R142="n",,"UZ5.150")</f>
        <v>UZ5.150</v>
      </c>
      <c r="Z142" s="832">
        <v>0</v>
      </c>
      <c r="AA142" s="629">
        <f t="shared" si="31"/>
        <v>12.931339126216495</v>
      </c>
      <c r="AB142" s="629">
        <v>0</v>
      </c>
      <c r="AC142" s="833">
        <f t="shared" si="23"/>
        <v>14.920775914865185</v>
      </c>
      <c r="AD142" s="833">
        <f t="shared" si="24"/>
        <v>0</v>
      </c>
      <c r="AE142" s="826" t="s">
        <v>221</v>
      </c>
      <c r="AF142" s="834">
        <f t="shared" si="32"/>
        <v>14.920775914865185</v>
      </c>
      <c r="AG142" s="763" t="e">
        <f t="shared" si="25"/>
        <v>#VALUE!</v>
      </c>
      <c r="AH142" s="553"/>
      <c r="AI142" s="553" t="b">
        <f t="shared" si="33"/>
        <v>1</v>
      </c>
      <c r="AJ142" s="553"/>
      <c r="AK142" s="553"/>
      <c r="AL142" s="553" t="b">
        <f t="shared" si="26"/>
        <v>1</v>
      </c>
      <c r="AM142" s="553" t="b">
        <f t="shared" si="35"/>
        <v>1</v>
      </c>
      <c r="AN142" s="835" t="e">
        <f t="shared" si="27"/>
        <v>#VALUE!</v>
      </c>
      <c r="AO142" s="554">
        <v>80</v>
      </c>
      <c r="AP142" s="830">
        <v>71.5</v>
      </c>
      <c r="AQ142" s="830">
        <v>23</v>
      </c>
      <c r="AR142" s="629">
        <v>5.2</v>
      </c>
      <c r="AS142" s="629">
        <v>4.2</v>
      </c>
      <c r="AT142" s="830">
        <v>159</v>
      </c>
      <c r="AU142" s="655" t="s">
        <v>310</v>
      </c>
      <c r="AV142" s="655">
        <v>150</v>
      </c>
      <c r="AW142" s="655" t="s">
        <v>367</v>
      </c>
      <c r="AX142" s="655" t="s">
        <v>317</v>
      </c>
      <c r="AY142" s="655" t="str">
        <f t="shared" si="34"/>
        <v xml:space="preserve">Zwei Tauchmotorpumpen </v>
      </c>
      <c r="AZ142" s="655" t="s">
        <v>320</v>
      </c>
      <c r="BA142" s="400" t="s">
        <v>294</v>
      </c>
      <c r="BB142" s="400" t="s">
        <v>295</v>
      </c>
      <c r="BC142" s="830" t="str">
        <f t="shared" si="28"/>
        <v>Dreh</v>
      </c>
      <c r="BD142" s="830" t="str">
        <f t="shared" si="29"/>
        <v>3/N/PE 400 V 50 Hz</v>
      </c>
      <c r="BE142" s="830" t="str">
        <f t="shared" si="30"/>
        <v>1 m mit CEE 3/N/PE, 5-pol</v>
      </c>
      <c r="BF142" s="830" t="s">
        <v>328</v>
      </c>
      <c r="BG142" s="831"/>
    </row>
    <row r="143" spans="1:59">
      <c r="A143" s="400" t="s">
        <v>826</v>
      </c>
      <c r="B143" s="761" t="s">
        <v>832</v>
      </c>
      <c r="C143" s="736">
        <v>14711.95</v>
      </c>
      <c r="D143" s="400" t="s">
        <v>838</v>
      </c>
      <c r="E143" s="736">
        <v>13313.98</v>
      </c>
      <c r="F143" s="794" t="s">
        <v>141</v>
      </c>
      <c r="G143" s="553" t="s">
        <v>125</v>
      </c>
      <c r="H143" s="795" t="str">
        <f t="shared" si="22"/>
        <v>n.v</v>
      </c>
      <c r="I143" s="796">
        <v>320</v>
      </c>
      <c r="O143" s="819"/>
      <c r="R143" s="400" t="s">
        <v>216</v>
      </c>
      <c r="S143" s="820" t="str">
        <f>IF($R143="n",,"U3.300")</f>
        <v>U3.300</v>
      </c>
      <c r="T143" s="562">
        <v>0</v>
      </c>
      <c r="U143" s="655">
        <v>113</v>
      </c>
      <c r="V143" s="655">
        <v>113</v>
      </c>
      <c r="W143" s="563">
        <v>133</v>
      </c>
      <c r="X143" s="563">
        <v>0</v>
      </c>
      <c r="Y143" s="820" t="str">
        <f>IF($R143="n",,"U3.300")</f>
        <v>U3.300</v>
      </c>
      <c r="Z143" s="832">
        <v>0</v>
      </c>
      <c r="AA143" s="629">
        <f t="shared" si="31"/>
        <v>22.480635711730216</v>
      </c>
      <c r="AB143" s="629">
        <f t="shared" ref="AB143:AB158" si="36">(4*V143/(PI()*(dn/100)^2)/10)</f>
        <v>22.480635711730216</v>
      </c>
      <c r="AC143" s="833">
        <f t="shared" si="23"/>
        <v>26.459509289027597</v>
      </c>
      <c r="AD143" s="833">
        <f t="shared" si="24"/>
        <v>0</v>
      </c>
      <c r="AE143" s="826" t="s">
        <v>221</v>
      </c>
      <c r="AF143" s="834">
        <f t="shared" si="32"/>
        <v>26.459509289027597</v>
      </c>
      <c r="AG143" s="763" t="e">
        <f t="shared" si="25"/>
        <v>#VALUE!</v>
      </c>
      <c r="AH143" s="553"/>
      <c r="AI143" s="553" t="b">
        <f t="shared" si="33"/>
        <v>1</v>
      </c>
      <c r="AJ143" s="553" t="b">
        <f t="shared" ref="AJ143:AJ148" si="37">MAX(ldl,fh_geo)&lt;AB143</f>
        <v>1</v>
      </c>
      <c r="AK143" s="553"/>
      <c r="AL143" s="553" t="b">
        <f t="shared" si="26"/>
        <v>1</v>
      </c>
      <c r="AM143" s="553" t="b">
        <f t="shared" si="35"/>
        <v>1</v>
      </c>
      <c r="AN143" s="835" t="e">
        <f t="shared" si="27"/>
        <v>#VALUE!</v>
      </c>
      <c r="AO143" s="554">
        <v>80</v>
      </c>
      <c r="AP143" s="830">
        <v>55</v>
      </c>
      <c r="AQ143" s="830">
        <v>12.5</v>
      </c>
      <c r="AR143" s="629">
        <v>2.74</v>
      </c>
      <c r="AS143" s="629">
        <v>2.15</v>
      </c>
      <c r="AT143" s="830">
        <v>109</v>
      </c>
      <c r="AU143" s="655" t="s">
        <v>311</v>
      </c>
      <c r="AV143" s="655">
        <v>300</v>
      </c>
      <c r="AW143" s="655" t="s">
        <v>368</v>
      </c>
      <c r="AX143" s="655" t="s">
        <v>316</v>
      </c>
      <c r="AY143" s="655" t="str">
        <f t="shared" si="34"/>
        <v xml:space="preserve">Einer Tauchmotorpumpe </v>
      </c>
      <c r="AZ143" s="655" t="s">
        <v>320</v>
      </c>
      <c r="BA143" s="400" t="s">
        <v>294</v>
      </c>
      <c r="BB143" s="400" t="s">
        <v>295</v>
      </c>
      <c r="BC143" s="830" t="str">
        <f t="shared" si="28"/>
        <v>Dreh</v>
      </c>
      <c r="BD143" s="830" t="str">
        <f t="shared" si="29"/>
        <v>3/N/PE 400 V 50 Hz</v>
      </c>
      <c r="BE143" s="830" t="str">
        <f t="shared" si="30"/>
        <v>1 m mit CEE 3/N/PE, 5-pol</v>
      </c>
      <c r="BF143" s="830" t="s">
        <v>329</v>
      </c>
      <c r="BG143" s="831"/>
    </row>
    <row r="144" spans="1:59">
      <c r="A144" s="400" t="s">
        <v>827</v>
      </c>
      <c r="B144" s="761" t="s">
        <v>833</v>
      </c>
      <c r="C144" s="736">
        <v>15152.36</v>
      </c>
      <c r="D144" s="400" t="s">
        <v>839</v>
      </c>
      <c r="E144" s="736">
        <v>13712.54</v>
      </c>
      <c r="F144" s="789" t="s">
        <v>141</v>
      </c>
      <c r="G144" s="790">
        <v>75</v>
      </c>
      <c r="H144" s="791">
        <f t="shared" si="22"/>
        <v>14.920775914865185</v>
      </c>
      <c r="I144" s="792" t="s">
        <v>496</v>
      </c>
      <c r="O144" s="819"/>
      <c r="R144" s="400" t="s">
        <v>216</v>
      </c>
      <c r="S144" s="820" t="str">
        <f>IF($R144="n",,"U4.300")</f>
        <v>U4.300</v>
      </c>
      <c r="T144" s="562">
        <v>0</v>
      </c>
      <c r="U144" s="655">
        <v>113</v>
      </c>
      <c r="V144" s="655">
        <v>113</v>
      </c>
      <c r="W144" s="563">
        <v>133</v>
      </c>
      <c r="X144" s="563">
        <v>0</v>
      </c>
      <c r="Y144" s="820" t="str">
        <f>IF($R144="n",,"U4.300")</f>
        <v>U4.300</v>
      </c>
      <c r="Z144" s="832">
        <v>0</v>
      </c>
      <c r="AA144" s="629">
        <f t="shared" si="31"/>
        <v>22.480635711730216</v>
      </c>
      <c r="AB144" s="629">
        <f t="shared" si="36"/>
        <v>22.480635711730216</v>
      </c>
      <c r="AC144" s="833">
        <f t="shared" si="23"/>
        <v>26.459509289027597</v>
      </c>
      <c r="AD144" s="833">
        <f t="shared" si="24"/>
        <v>0</v>
      </c>
      <c r="AE144" s="826" t="s">
        <v>221</v>
      </c>
      <c r="AF144" s="834">
        <f t="shared" si="32"/>
        <v>26.459509289027597</v>
      </c>
      <c r="AG144" s="763" t="e">
        <f t="shared" si="25"/>
        <v>#VALUE!</v>
      </c>
      <c r="AH144" s="553"/>
      <c r="AI144" s="553" t="b">
        <f t="shared" si="33"/>
        <v>1</v>
      </c>
      <c r="AJ144" s="553" t="b">
        <f t="shared" si="37"/>
        <v>1</v>
      </c>
      <c r="AK144" s="553"/>
      <c r="AL144" s="553" t="b">
        <f t="shared" si="26"/>
        <v>1</v>
      </c>
      <c r="AM144" s="553" t="b">
        <f t="shared" si="35"/>
        <v>1</v>
      </c>
      <c r="AN144" s="835" t="e">
        <f t="shared" si="27"/>
        <v>#VALUE!</v>
      </c>
      <c r="AO144" s="554">
        <v>80</v>
      </c>
      <c r="AP144" s="830">
        <v>60</v>
      </c>
      <c r="AQ144" s="830">
        <v>17.2</v>
      </c>
      <c r="AR144" s="629">
        <v>3.72</v>
      </c>
      <c r="AS144" s="629">
        <v>3</v>
      </c>
      <c r="AT144" s="830">
        <v>111</v>
      </c>
      <c r="AU144" s="655" t="s">
        <v>311</v>
      </c>
      <c r="AV144" s="655">
        <v>300</v>
      </c>
      <c r="AW144" s="655" t="s">
        <v>368</v>
      </c>
      <c r="AX144" s="655" t="s">
        <v>316</v>
      </c>
      <c r="AY144" s="655" t="str">
        <f t="shared" si="34"/>
        <v xml:space="preserve">Einer Tauchmotorpumpe </v>
      </c>
      <c r="AZ144" s="655" t="s">
        <v>320</v>
      </c>
      <c r="BA144" s="400" t="s">
        <v>294</v>
      </c>
      <c r="BB144" s="400" t="s">
        <v>295</v>
      </c>
      <c r="BC144" s="830" t="str">
        <f t="shared" si="28"/>
        <v>Dreh</v>
      </c>
      <c r="BD144" s="830" t="str">
        <f t="shared" si="29"/>
        <v>3/N/PE 400 V 50 Hz</v>
      </c>
      <c r="BE144" s="830" t="str">
        <f t="shared" si="30"/>
        <v>1 m mit CEE 3/N/PE, 5-pol</v>
      </c>
      <c r="BF144" s="830" t="s">
        <v>329</v>
      </c>
      <c r="BG144" s="831"/>
    </row>
    <row r="145" spans="1:59">
      <c r="A145" s="400" t="s">
        <v>828</v>
      </c>
      <c r="B145" s="761" t="s">
        <v>834</v>
      </c>
      <c r="C145" s="736">
        <v>15969.01</v>
      </c>
      <c r="D145" s="400" t="s">
        <v>840</v>
      </c>
      <c r="E145" s="736">
        <v>14451.59</v>
      </c>
      <c r="F145" s="762" t="s">
        <v>142</v>
      </c>
      <c r="G145" s="763" t="s">
        <v>125</v>
      </c>
      <c r="H145" s="793" t="str">
        <f t="shared" si="22"/>
        <v>n.v</v>
      </c>
      <c r="I145" s="765">
        <v>180</v>
      </c>
      <c r="O145" s="819"/>
      <c r="R145" s="400" t="s">
        <v>216</v>
      </c>
      <c r="S145" s="820" t="str">
        <f>IF($R145="n",,"U5.300")</f>
        <v>U5.300</v>
      </c>
      <c r="T145" s="562">
        <v>0</v>
      </c>
      <c r="U145" s="655">
        <v>113</v>
      </c>
      <c r="V145" s="655">
        <v>113</v>
      </c>
      <c r="W145" s="563">
        <v>133</v>
      </c>
      <c r="X145" s="563">
        <v>0</v>
      </c>
      <c r="Y145" s="820" t="str">
        <f>IF($R145="n",,"U5.300")</f>
        <v>U5.300</v>
      </c>
      <c r="Z145" s="832">
        <v>0</v>
      </c>
      <c r="AA145" s="629">
        <f t="shared" si="31"/>
        <v>22.480635711730216</v>
      </c>
      <c r="AB145" s="629">
        <f t="shared" si="36"/>
        <v>22.480635711730216</v>
      </c>
      <c r="AC145" s="833">
        <f t="shared" si="23"/>
        <v>26.459509289027597</v>
      </c>
      <c r="AD145" s="833">
        <f t="shared" si="24"/>
        <v>0</v>
      </c>
      <c r="AE145" s="826" t="s">
        <v>221</v>
      </c>
      <c r="AF145" s="834">
        <f t="shared" si="32"/>
        <v>26.459509289027597</v>
      </c>
      <c r="AG145" s="763" t="e">
        <f t="shared" si="25"/>
        <v>#VALUE!</v>
      </c>
      <c r="AH145" s="553"/>
      <c r="AI145" s="553" t="b">
        <f t="shared" si="33"/>
        <v>1</v>
      </c>
      <c r="AJ145" s="553" t="b">
        <f t="shared" si="37"/>
        <v>1</v>
      </c>
      <c r="AK145" s="553"/>
      <c r="AL145" s="553" t="b">
        <f t="shared" si="26"/>
        <v>1</v>
      </c>
      <c r="AM145" s="553" t="b">
        <f t="shared" si="35"/>
        <v>1</v>
      </c>
      <c r="AN145" s="835" t="e">
        <f t="shared" si="27"/>
        <v>#VALUE!</v>
      </c>
      <c r="AO145" s="554">
        <v>80</v>
      </c>
      <c r="AP145" s="830">
        <v>71.5</v>
      </c>
      <c r="AQ145" s="830">
        <v>23</v>
      </c>
      <c r="AR145" s="629">
        <v>5.2</v>
      </c>
      <c r="AS145" s="629">
        <v>4.2</v>
      </c>
      <c r="AT145" s="830">
        <v>113</v>
      </c>
      <c r="AU145" s="655" t="s">
        <v>311</v>
      </c>
      <c r="AV145" s="655">
        <v>300</v>
      </c>
      <c r="AW145" s="655" t="s">
        <v>368</v>
      </c>
      <c r="AX145" s="655" t="s">
        <v>316</v>
      </c>
      <c r="AY145" s="655" t="str">
        <f t="shared" si="34"/>
        <v xml:space="preserve">Einer Tauchmotorpumpe </v>
      </c>
      <c r="AZ145" s="655" t="s">
        <v>320</v>
      </c>
      <c r="BA145" s="400" t="s">
        <v>294</v>
      </c>
      <c r="BB145" s="400" t="s">
        <v>295</v>
      </c>
      <c r="BC145" s="830" t="str">
        <f t="shared" si="28"/>
        <v>Dreh</v>
      </c>
      <c r="BD145" s="830" t="str">
        <f t="shared" si="29"/>
        <v>3/N/PE 400 V 50 Hz</v>
      </c>
      <c r="BE145" s="830" t="str">
        <f t="shared" si="30"/>
        <v>1 m mit CEE 3/N/PE, 5-pol</v>
      </c>
      <c r="BF145" s="830" t="s">
        <v>329</v>
      </c>
      <c r="BG145" s="831"/>
    </row>
    <row r="146" spans="1:59">
      <c r="A146" s="400" t="s">
        <v>829</v>
      </c>
      <c r="B146" s="761" t="s">
        <v>835</v>
      </c>
      <c r="C146" s="736">
        <v>16402.96</v>
      </c>
      <c r="D146" s="400" t="s">
        <v>841</v>
      </c>
      <c r="E146" s="736">
        <v>14844.31</v>
      </c>
      <c r="F146" s="794" t="s">
        <v>142</v>
      </c>
      <c r="G146" s="553">
        <v>65</v>
      </c>
      <c r="H146" s="795">
        <f t="shared" si="22"/>
        <v>12.931339126216495</v>
      </c>
      <c r="I146" s="796">
        <v>250</v>
      </c>
      <c r="O146" s="819"/>
      <c r="R146" s="400" t="s">
        <v>216</v>
      </c>
      <c r="S146" s="820" t="str">
        <f>IF($R146="n",,"UZ3.300")</f>
        <v>UZ3.300</v>
      </c>
      <c r="T146" s="562">
        <v>0</v>
      </c>
      <c r="U146" s="655">
        <v>113</v>
      </c>
      <c r="V146" s="655">
        <v>113</v>
      </c>
      <c r="W146" s="563">
        <v>133</v>
      </c>
      <c r="X146" s="563">
        <v>0</v>
      </c>
      <c r="Y146" s="820" t="str">
        <f>IF($R146="n",,"UZ3.300")</f>
        <v>UZ3.300</v>
      </c>
      <c r="Z146" s="832">
        <v>0</v>
      </c>
      <c r="AA146" s="629">
        <f t="shared" si="31"/>
        <v>22.480635711730216</v>
      </c>
      <c r="AB146" s="629">
        <f t="shared" si="36"/>
        <v>22.480635711730216</v>
      </c>
      <c r="AC146" s="833">
        <f t="shared" si="23"/>
        <v>26.459509289027597</v>
      </c>
      <c r="AD146" s="833">
        <f t="shared" si="24"/>
        <v>0</v>
      </c>
      <c r="AE146" s="826" t="s">
        <v>221</v>
      </c>
      <c r="AF146" s="834">
        <f t="shared" si="32"/>
        <v>26.459509289027597</v>
      </c>
      <c r="AG146" s="763" t="e">
        <f t="shared" si="25"/>
        <v>#VALUE!</v>
      </c>
      <c r="AH146" s="553"/>
      <c r="AI146" s="553" t="b">
        <f t="shared" si="33"/>
        <v>1</v>
      </c>
      <c r="AJ146" s="553" t="b">
        <f t="shared" si="37"/>
        <v>1</v>
      </c>
      <c r="AK146" s="553"/>
      <c r="AL146" s="553" t="b">
        <f t="shared" si="26"/>
        <v>1</v>
      </c>
      <c r="AM146" s="553" t="b">
        <f t="shared" si="35"/>
        <v>1</v>
      </c>
      <c r="AN146" s="835" t="e">
        <f t="shared" si="27"/>
        <v>#VALUE!</v>
      </c>
      <c r="AO146" s="554">
        <v>80</v>
      </c>
      <c r="AP146" s="830">
        <v>55</v>
      </c>
      <c r="AQ146" s="830">
        <v>12.5</v>
      </c>
      <c r="AR146" s="629">
        <v>2.74</v>
      </c>
      <c r="AS146" s="629">
        <v>2.15</v>
      </c>
      <c r="AT146" s="830">
        <v>160</v>
      </c>
      <c r="AU146" s="655" t="s">
        <v>312</v>
      </c>
      <c r="AV146" s="655">
        <v>300</v>
      </c>
      <c r="AW146" s="655" t="s">
        <v>365</v>
      </c>
      <c r="AX146" s="655" t="s">
        <v>317</v>
      </c>
      <c r="AY146" s="655" t="str">
        <f t="shared" si="34"/>
        <v xml:space="preserve">Zwei Tauchmotorpumpen </v>
      </c>
      <c r="AZ146" s="655" t="s">
        <v>320</v>
      </c>
      <c r="BA146" s="400" t="s">
        <v>294</v>
      </c>
      <c r="BB146" s="400" t="s">
        <v>295</v>
      </c>
      <c r="BC146" s="830" t="str">
        <f t="shared" si="28"/>
        <v>Dreh</v>
      </c>
      <c r="BD146" s="830" t="str">
        <f t="shared" si="29"/>
        <v>3/N/PE 400 V 50 Hz</v>
      </c>
      <c r="BE146" s="830" t="str">
        <f t="shared" si="30"/>
        <v>1 m mit CEE 3/N/PE, 5-pol</v>
      </c>
      <c r="BF146" s="830"/>
      <c r="BG146" s="831"/>
    </row>
    <row r="147" spans="1:59">
      <c r="A147" s="400" t="s">
        <v>843</v>
      </c>
      <c r="B147" s="761" t="s">
        <v>859</v>
      </c>
      <c r="C147" s="736">
        <v>19297.5</v>
      </c>
      <c r="D147" s="400" t="s">
        <v>863</v>
      </c>
      <c r="E147" s="736">
        <v>17463.8</v>
      </c>
      <c r="F147" s="794" t="s">
        <v>142</v>
      </c>
      <c r="G147" s="553" t="s">
        <v>125</v>
      </c>
      <c r="H147" s="795" t="str">
        <f t="shared" si="22"/>
        <v>n.v</v>
      </c>
      <c r="I147" s="796">
        <v>320</v>
      </c>
      <c r="O147" s="819"/>
      <c r="R147" s="400" t="s">
        <v>216</v>
      </c>
      <c r="S147" s="820" t="str">
        <f>IF($R147="n",,"UZ4.300")</f>
        <v>UZ4.300</v>
      </c>
      <c r="T147" s="562">
        <v>0</v>
      </c>
      <c r="U147" s="655">
        <v>113</v>
      </c>
      <c r="V147" s="655">
        <v>113</v>
      </c>
      <c r="W147" s="563">
        <v>133</v>
      </c>
      <c r="X147" s="563">
        <v>0</v>
      </c>
      <c r="Y147" s="820" t="str">
        <f>IF($R147="n",,"UZ4.300")</f>
        <v>UZ4.300</v>
      </c>
      <c r="Z147" s="832">
        <v>0</v>
      </c>
      <c r="AA147" s="629">
        <f t="shared" si="31"/>
        <v>22.480635711730216</v>
      </c>
      <c r="AB147" s="629">
        <f t="shared" si="36"/>
        <v>22.480635711730216</v>
      </c>
      <c r="AC147" s="833">
        <f t="shared" si="23"/>
        <v>26.459509289027597</v>
      </c>
      <c r="AD147" s="833">
        <f t="shared" si="24"/>
        <v>0</v>
      </c>
      <c r="AE147" s="826" t="s">
        <v>221</v>
      </c>
      <c r="AF147" s="834">
        <f t="shared" si="32"/>
        <v>26.459509289027597</v>
      </c>
      <c r="AG147" s="763" t="e">
        <f t="shared" si="25"/>
        <v>#VALUE!</v>
      </c>
      <c r="AH147" s="553"/>
      <c r="AI147" s="553" t="b">
        <f t="shared" si="33"/>
        <v>1</v>
      </c>
      <c r="AJ147" s="553" t="b">
        <f t="shared" si="37"/>
        <v>1</v>
      </c>
      <c r="AK147" s="553"/>
      <c r="AL147" s="553" t="b">
        <f t="shared" si="26"/>
        <v>1</v>
      </c>
      <c r="AM147" s="553" t="b">
        <f t="shared" si="35"/>
        <v>1</v>
      </c>
      <c r="AN147" s="835" t="e">
        <f t="shared" si="27"/>
        <v>#VALUE!</v>
      </c>
      <c r="AO147" s="554">
        <v>80</v>
      </c>
      <c r="AP147" s="830">
        <v>60</v>
      </c>
      <c r="AQ147" s="830">
        <v>17.2</v>
      </c>
      <c r="AR147" s="629">
        <v>3.72</v>
      </c>
      <c r="AS147" s="629">
        <v>3</v>
      </c>
      <c r="AT147" s="830">
        <v>164</v>
      </c>
      <c r="AU147" s="655" t="s">
        <v>312</v>
      </c>
      <c r="AV147" s="655">
        <v>300</v>
      </c>
      <c r="AW147" s="655" t="s">
        <v>365</v>
      </c>
      <c r="AX147" s="655" t="s">
        <v>317</v>
      </c>
      <c r="AY147" s="655" t="str">
        <f t="shared" si="34"/>
        <v xml:space="preserve">Zwei Tauchmotorpumpen </v>
      </c>
      <c r="AZ147" s="655" t="s">
        <v>320</v>
      </c>
      <c r="BA147" s="400" t="s">
        <v>294</v>
      </c>
      <c r="BB147" s="400" t="s">
        <v>295</v>
      </c>
      <c r="BC147" s="830" t="str">
        <f t="shared" si="28"/>
        <v>Dreh</v>
      </c>
      <c r="BD147" s="830" t="str">
        <f t="shared" si="29"/>
        <v>3/N/PE 400 V 50 Hz</v>
      </c>
      <c r="BE147" s="830" t="str">
        <f t="shared" si="30"/>
        <v>1 m mit CEE 3/N/PE, 5-pol</v>
      </c>
      <c r="BF147" s="830"/>
      <c r="BG147" s="831"/>
    </row>
    <row r="148" spans="1:59">
      <c r="A148" s="400" t="s">
        <v>845</v>
      </c>
      <c r="B148" s="761" t="s">
        <v>860</v>
      </c>
      <c r="C148" s="736">
        <v>18892.68</v>
      </c>
      <c r="D148" s="400" t="s">
        <v>864</v>
      </c>
      <c r="E148" s="736">
        <v>17097.45</v>
      </c>
      <c r="F148" s="789" t="s">
        <v>142</v>
      </c>
      <c r="G148" s="790">
        <v>75</v>
      </c>
      <c r="H148" s="791">
        <f t="shared" si="22"/>
        <v>14.920775914865185</v>
      </c>
      <c r="I148" s="792" t="s">
        <v>496</v>
      </c>
      <c r="O148" s="819"/>
      <c r="R148" s="400" t="s">
        <v>216</v>
      </c>
      <c r="S148" s="820" t="str">
        <f>IF($R148="n",,"UZ5.300")</f>
        <v>UZ5.300</v>
      </c>
      <c r="T148" s="562">
        <v>0</v>
      </c>
      <c r="U148" s="655">
        <v>113</v>
      </c>
      <c r="V148" s="655">
        <v>113</v>
      </c>
      <c r="W148" s="563">
        <v>133</v>
      </c>
      <c r="X148" s="563">
        <v>0</v>
      </c>
      <c r="Y148" s="820" t="str">
        <f>IF($R148="n",,"UZ5.300")</f>
        <v>UZ5.300</v>
      </c>
      <c r="Z148" s="832">
        <v>0</v>
      </c>
      <c r="AA148" s="629">
        <f t="shared" si="31"/>
        <v>22.480635711730216</v>
      </c>
      <c r="AB148" s="629">
        <f t="shared" si="36"/>
        <v>22.480635711730216</v>
      </c>
      <c r="AC148" s="833">
        <f t="shared" si="23"/>
        <v>26.459509289027597</v>
      </c>
      <c r="AD148" s="833">
        <f t="shared" si="24"/>
        <v>0</v>
      </c>
      <c r="AE148" s="826" t="s">
        <v>221</v>
      </c>
      <c r="AF148" s="834">
        <f t="shared" si="32"/>
        <v>26.459509289027597</v>
      </c>
      <c r="AG148" s="763" t="e">
        <f t="shared" si="25"/>
        <v>#VALUE!</v>
      </c>
      <c r="AH148" s="553"/>
      <c r="AI148" s="553" t="b">
        <f t="shared" si="33"/>
        <v>1</v>
      </c>
      <c r="AJ148" s="553" t="b">
        <f t="shared" si="37"/>
        <v>1</v>
      </c>
      <c r="AL148" s="553" t="b">
        <f t="shared" si="26"/>
        <v>1</v>
      </c>
      <c r="AM148" s="553" t="b">
        <f t="shared" si="35"/>
        <v>1</v>
      </c>
      <c r="AN148" s="553" t="e">
        <f t="shared" si="27"/>
        <v>#VALUE!</v>
      </c>
      <c r="AO148" s="554">
        <v>80</v>
      </c>
      <c r="AP148" s="830">
        <v>71.5</v>
      </c>
      <c r="AQ148" s="830">
        <v>23</v>
      </c>
      <c r="AR148" s="629">
        <v>5.2</v>
      </c>
      <c r="AS148" s="629">
        <v>4.2</v>
      </c>
      <c r="AT148" s="830">
        <v>168</v>
      </c>
      <c r="AU148" s="830" t="s">
        <v>312</v>
      </c>
      <c r="AV148" s="836">
        <v>300</v>
      </c>
      <c r="AW148" s="655" t="s">
        <v>365</v>
      </c>
      <c r="AX148" s="655" t="s">
        <v>317</v>
      </c>
      <c r="AY148" s="655" t="str">
        <f t="shared" si="34"/>
        <v xml:space="preserve">Zwei Tauchmotorpumpen </v>
      </c>
      <c r="AZ148" s="655" t="s">
        <v>320</v>
      </c>
      <c r="BA148" s="400" t="s">
        <v>294</v>
      </c>
      <c r="BB148" s="400" t="s">
        <v>295</v>
      </c>
      <c r="BC148" s="830" t="str">
        <f t="shared" si="28"/>
        <v>Dreh</v>
      </c>
      <c r="BD148" s="830" t="str">
        <f t="shared" si="29"/>
        <v>3/N/PE 400 V 50 Hz</v>
      </c>
      <c r="BE148" s="830" t="str">
        <f t="shared" si="30"/>
        <v>1 m mit CEE 3/N/PE, 5-pol</v>
      </c>
      <c r="BF148" s="830"/>
      <c r="BG148" s="831"/>
    </row>
    <row r="149" spans="1:59">
      <c r="A149" s="400" t="s">
        <v>844</v>
      </c>
      <c r="B149" s="761" t="s">
        <v>861</v>
      </c>
      <c r="C149" s="736">
        <v>19779.919999999998</v>
      </c>
      <c r="D149" s="400" t="s">
        <v>865</v>
      </c>
      <c r="E149" s="736">
        <v>17900.38</v>
      </c>
      <c r="F149" s="762" t="s">
        <v>143</v>
      </c>
      <c r="G149" s="763" t="s">
        <v>125</v>
      </c>
      <c r="H149" s="793" t="str">
        <f t="shared" si="22"/>
        <v>n.v</v>
      </c>
      <c r="I149" s="765">
        <v>180</v>
      </c>
      <c r="R149" s="400" t="s">
        <v>216</v>
      </c>
      <c r="S149" s="820" t="str">
        <f>IF($R149="n",,"UZ3.450")</f>
        <v>UZ3.450</v>
      </c>
      <c r="T149" s="562">
        <v>0</v>
      </c>
      <c r="U149" s="655">
        <v>0</v>
      </c>
      <c r="V149" s="655">
        <v>0</v>
      </c>
      <c r="W149" s="563">
        <v>0</v>
      </c>
      <c r="X149" s="562">
        <v>290</v>
      </c>
      <c r="Y149" s="820" t="str">
        <f>IF($R149="n",,"UZ3.450")</f>
        <v>UZ3.450</v>
      </c>
      <c r="Z149" s="832">
        <v>0</v>
      </c>
      <c r="AA149" s="629">
        <f t="shared" si="31"/>
        <v>0</v>
      </c>
      <c r="AB149" s="629">
        <f t="shared" si="36"/>
        <v>0</v>
      </c>
      <c r="AC149" s="833">
        <f t="shared" si="23"/>
        <v>0</v>
      </c>
      <c r="AD149" s="833">
        <f t="shared" si="24"/>
        <v>57.693666870812059</v>
      </c>
      <c r="AE149" s="826" t="s">
        <v>221</v>
      </c>
      <c r="AF149" s="834">
        <f t="shared" si="32"/>
        <v>57.693666870812059</v>
      </c>
      <c r="AG149" s="763" t="e">
        <f t="shared" si="25"/>
        <v>#VALUE!</v>
      </c>
      <c r="AH149" s="553"/>
      <c r="AI149" s="553"/>
      <c r="AJ149" s="553"/>
      <c r="AK149" s="553" t="b">
        <f>MAX(ldl,fh_geo)&lt;AD149</f>
        <v>1</v>
      </c>
      <c r="AL149" s="553" t="b">
        <f t="shared" si="26"/>
        <v>0</v>
      </c>
      <c r="AM149" s="553" t="b">
        <f t="shared" si="35"/>
        <v>1</v>
      </c>
      <c r="AN149" s="553" t="e">
        <f t="shared" si="27"/>
        <v>#VALUE!</v>
      </c>
      <c r="AO149" s="554">
        <v>80</v>
      </c>
      <c r="AP149" s="830">
        <v>55</v>
      </c>
      <c r="AQ149" s="830">
        <v>12.5</v>
      </c>
      <c r="AR149" s="629">
        <v>2.74</v>
      </c>
      <c r="AS149" s="629">
        <v>2.15</v>
      </c>
      <c r="AT149" s="830">
        <v>197</v>
      </c>
      <c r="AU149" s="830" t="s">
        <v>411</v>
      </c>
      <c r="AV149" s="836">
        <v>450</v>
      </c>
      <c r="AW149" s="655" t="s">
        <v>413</v>
      </c>
      <c r="AX149" s="655" t="s">
        <v>317</v>
      </c>
      <c r="AY149" s="655" t="str">
        <f t="shared" si="34"/>
        <v xml:space="preserve">Zwei Tauchmotorpumpen </v>
      </c>
      <c r="AZ149" s="655" t="s">
        <v>320</v>
      </c>
      <c r="BA149" s="400" t="s">
        <v>294</v>
      </c>
      <c r="BB149" s="400" t="s">
        <v>295</v>
      </c>
      <c r="BC149" s="830" t="str">
        <f t="shared" si="28"/>
        <v>Dreh</v>
      </c>
      <c r="BD149" s="830" t="str">
        <f t="shared" si="29"/>
        <v>3/N/PE 400 V 50 Hz</v>
      </c>
      <c r="BE149" s="830" t="str">
        <f t="shared" si="30"/>
        <v>1 m mit CEE 3/N/PE, 5-pol</v>
      </c>
      <c r="BF149" s="830"/>
      <c r="BG149" s="831"/>
    </row>
    <row r="150" spans="1:59">
      <c r="A150" s="400" t="s">
        <v>846</v>
      </c>
      <c r="B150" s="761" t="s">
        <v>862</v>
      </c>
      <c r="C150" s="736">
        <v>19157.21</v>
      </c>
      <c r="D150" s="400" t="s">
        <v>866</v>
      </c>
      <c r="E150" s="736">
        <v>17336.84</v>
      </c>
      <c r="F150" s="794" t="s">
        <v>143</v>
      </c>
      <c r="G150" s="553">
        <v>65</v>
      </c>
      <c r="H150" s="795">
        <f t="shared" si="22"/>
        <v>12.931339126216495</v>
      </c>
      <c r="I150" s="796">
        <v>250</v>
      </c>
      <c r="O150" s="837"/>
      <c r="P150" s="837"/>
      <c r="Q150" s="837"/>
      <c r="R150" s="400" t="s">
        <v>216</v>
      </c>
      <c r="S150" s="820" t="str">
        <f>IF($R150="n",,"UZ4.450")</f>
        <v>UZ4.450</v>
      </c>
      <c r="T150" s="562">
        <v>0</v>
      </c>
      <c r="U150" s="655">
        <v>0</v>
      </c>
      <c r="V150" s="655">
        <v>0</v>
      </c>
      <c r="W150" s="563">
        <v>0</v>
      </c>
      <c r="X150" s="562">
        <v>290</v>
      </c>
      <c r="Y150" s="820" t="str">
        <f>IF($R150="n",,"UZ4.450")</f>
        <v>UZ4.450</v>
      </c>
      <c r="Z150" s="832">
        <v>0</v>
      </c>
      <c r="AA150" s="629">
        <f t="shared" si="31"/>
        <v>0</v>
      </c>
      <c r="AB150" s="629">
        <f t="shared" si="36"/>
        <v>0</v>
      </c>
      <c r="AC150" s="833">
        <f t="shared" si="23"/>
        <v>0</v>
      </c>
      <c r="AD150" s="833">
        <f t="shared" si="24"/>
        <v>57.693666870812059</v>
      </c>
      <c r="AE150" s="826" t="s">
        <v>221</v>
      </c>
      <c r="AF150" s="834">
        <f t="shared" si="32"/>
        <v>57.693666870812059</v>
      </c>
      <c r="AG150" s="763" t="e">
        <f t="shared" si="25"/>
        <v>#VALUE!</v>
      </c>
      <c r="AH150" s="553"/>
      <c r="AI150" s="553"/>
      <c r="AJ150" s="553"/>
      <c r="AK150" s="553" t="b">
        <f>MAX(ldl,fh_geo)&lt;AD149</f>
        <v>1</v>
      </c>
      <c r="AL150" s="553" t="b">
        <f t="shared" si="26"/>
        <v>0</v>
      </c>
      <c r="AM150" s="553" t="b">
        <f t="shared" si="35"/>
        <v>1</v>
      </c>
      <c r="AN150" s="553" t="e">
        <f t="shared" si="27"/>
        <v>#VALUE!</v>
      </c>
      <c r="AO150" s="554">
        <v>80</v>
      </c>
      <c r="AP150" s="830">
        <v>60</v>
      </c>
      <c r="AQ150" s="830">
        <v>17.2</v>
      </c>
      <c r="AR150" s="629">
        <v>3.72</v>
      </c>
      <c r="AS150" s="629">
        <v>3</v>
      </c>
      <c r="AT150" s="830">
        <v>201</v>
      </c>
      <c r="AU150" s="830" t="s">
        <v>411</v>
      </c>
      <c r="AV150" s="836">
        <v>450</v>
      </c>
      <c r="AW150" s="655" t="s">
        <v>413</v>
      </c>
      <c r="AX150" s="655" t="s">
        <v>317</v>
      </c>
      <c r="AY150" s="655" t="str">
        <f t="shared" si="34"/>
        <v xml:space="preserve">Zwei Tauchmotorpumpen </v>
      </c>
      <c r="AZ150" s="655" t="s">
        <v>320</v>
      </c>
      <c r="BA150" s="400" t="s">
        <v>294</v>
      </c>
      <c r="BB150" s="400" t="s">
        <v>295</v>
      </c>
      <c r="BC150" s="830" t="str">
        <f t="shared" si="28"/>
        <v>Dreh</v>
      </c>
      <c r="BD150" s="830" t="str">
        <f t="shared" si="29"/>
        <v>3/N/PE 400 V 50 Hz</v>
      </c>
      <c r="BE150" s="830" t="str">
        <f t="shared" si="30"/>
        <v>1 m mit CEE 3/N/PE, 5-pol</v>
      </c>
      <c r="BF150" s="830"/>
      <c r="BG150" s="831"/>
    </row>
    <row r="151" spans="1:59">
      <c r="A151" s="400" t="s">
        <v>847</v>
      </c>
      <c r="B151" s="761" t="s">
        <v>867</v>
      </c>
      <c r="C151" s="736">
        <v>28163.39</v>
      </c>
      <c r="D151" s="400" t="s">
        <v>873</v>
      </c>
      <c r="E151" s="736">
        <v>25487.23</v>
      </c>
      <c r="F151" s="794" t="s">
        <v>143</v>
      </c>
      <c r="G151" s="553" t="s">
        <v>125</v>
      </c>
      <c r="H151" s="795" t="str">
        <f t="shared" si="22"/>
        <v>n.v</v>
      </c>
      <c r="I151" s="796">
        <v>320</v>
      </c>
      <c r="R151" s="400" t="s">
        <v>216</v>
      </c>
      <c r="S151" s="820" t="str">
        <f>IF($R151="n",,"UZ5.450")</f>
        <v>UZ5.450</v>
      </c>
      <c r="T151" s="562">
        <v>0</v>
      </c>
      <c r="U151" s="655">
        <v>0</v>
      </c>
      <c r="V151" s="655">
        <v>0</v>
      </c>
      <c r="W151" s="563">
        <v>0</v>
      </c>
      <c r="X151" s="562">
        <v>290</v>
      </c>
      <c r="Y151" s="820" t="str">
        <f>IF($R151="n",,"UZ5.450")</f>
        <v>UZ5.450</v>
      </c>
      <c r="Z151" s="832">
        <v>0</v>
      </c>
      <c r="AA151" s="629">
        <f t="shared" si="31"/>
        <v>0</v>
      </c>
      <c r="AB151" s="629">
        <f t="shared" si="36"/>
        <v>0</v>
      </c>
      <c r="AC151" s="833">
        <f t="shared" si="23"/>
        <v>0</v>
      </c>
      <c r="AD151" s="833">
        <f t="shared" si="24"/>
        <v>57.693666870812059</v>
      </c>
      <c r="AE151" s="826" t="s">
        <v>221</v>
      </c>
      <c r="AF151" s="834">
        <f t="shared" si="32"/>
        <v>57.693666870812059</v>
      </c>
      <c r="AG151" s="763" t="e">
        <f t="shared" si="25"/>
        <v>#VALUE!</v>
      </c>
      <c r="AH151" s="553"/>
      <c r="AI151" s="553"/>
      <c r="AJ151" s="553"/>
      <c r="AK151" s="553" t="b">
        <f>MAX(ldl,fh_geo)&lt;AD150</f>
        <v>1</v>
      </c>
      <c r="AL151" s="553" t="b">
        <f t="shared" si="26"/>
        <v>0</v>
      </c>
      <c r="AM151" s="553" t="b">
        <f t="shared" si="35"/>
        <v>1</v>
      </c>
      <c r="AN151" s="553" t="e">
        <f t="shared" si="27"/>
        <v>#VALUE!</v>
      </c>
      <c r="AO151" s="554">
        <v>80</v>
      </c>
      <c r="AP151" s="830">
        <v>71.5</v>
      </c>
      <c r="AQ151" s="830">
        <v>23</v>
      </c>
      <c r="AR151" s="629">
        <v>5.2</v>
      </c>
      <c r="AS151" s="629">
        <v>4.2</v>
      </c>
      <c r="AT151" s="830">
        <v>205</v>
      </c>
      <c r="AU151" s="830" t="s">
        <v>411</v>
      </c>
      <c r="AV151" s="836">
        <v>450</v>
      </c>
      <c r="AW151" s="655" t="s">
        <v>413</v>
      </c>
      <c r="AX151" s="655" t="s">
        <v>317</v>
      </c>
      <c r="AY151" s="655" t="str">
        <f t="shared" si="34"/>
        <v xml:space="preserve">Zwei Tauchmotorpumpen </v>
      </c>
      <c r="AZ151" s="655" t="s">
        <v>320</v>
      </c>
      <c r="BA151" s="400" t="s">
        <v>294</v>
      </c>
      <c r="BB151" s="400" t="s">
        <v>295</v>
      </c>
      <c r="BC151" s="830" t="str">
        <f t="shared" si="28"/>
        <v>Dreh</v>
      </c>
      <c r="BD151" s="830" t="str">
        <f t="shared" si="29"/>
        <v>3/N/PE 400 V 50 Hz</v>
      </c>
      <c r="BE151" s="830" t="str">
        <f t="shared" si="30"/>
        <v>1 m mit CEE 3/N/PE, 5-pol</v>
      </c>
      <c r="BF151" s="830"/>
      <c r="BG151" s="831"/>
    </row>
    <row r="152" spans="1:59">
      <c r="A152" s="400" t="s">
        <v>848</v>
      </c>
      <c r="B152" s="761" t="s">
        <v>868</v>
      </c>
      <c r="C152" s="736">
        <v>28968.38</v>
      </c>
      <c r="D152" s="400" t="s">
        <v>874</v>
      </c>
      <c r="E152" s="736">
        <v>26215.73</v>
      </c>
      <c r="F152" s="789" t="s">
        <v>143</v>
      </c>
      <c r="G152" s="790">
        <v>75</v>
      </c>
      <c r="H152" s="791">
        <f t="shared" si="22"/>
        <v>14.920775914865185</v>
      </c>
      <c r="I152" s="792" t="s">
        <v>496</v>
      </c>
      <c r="Q152" s="838"/>
      <c r="S152" s="820" t="str">
        <f>IF($R152="n",,"UZ3.900")</f>
        <v>UZ3.900</v>
      </c>
      <c r="T152" s="562">
        <v>0</v>
      </c>
      <c r="U152" s="655">
        <v>0</v>
      </c>
      <c r="V152" s="655">
        <v>0</v>
      </c>
      <c r="W152" s="563">
        <v>0</v>
      </c>
      <c r="X152" s="562">
        <v>580</v>
      </c>
      <c r="Y152" s="820" t="str">
        <f>IF($R152="n",,"UZ3.900")</f>
        <v>UZ3.900</v>
      </c>
      <c r="Z152" s="832">
        <v>0</v>
      </c>
      <c r="AA152" s="629">
        <f t="shared" si="31"/>
        <v>0</v>
      </c>
      <c r="AB152" s="629">
        <f t="shared" si="36"/>
        <v>0</v>
      </c>
      <c r="AC152" s="833">
        <f t="shared" si="23"/>
        <v>0</v>
      </c>
      <c r="AD152" s="833">
        <f t="shared" si="24"/>
        <v>115.38733374162412</v>
      </c>
      <c r="AE152" s="826" t="s">
        <v>221</v>
      </c>
      <c r="AF152" s="834">
        <f t="shared" si="32"/>
        <v>115.38733374162412</v>
      </c>
      <c r="AG152" s="763" t="e">
        <f t="shared" si="25"/>
        <v>#VALUE!</v>
      </c>
      <c r="AH152" s="553"/>
      <c r="AI152" s="553"/>
      <c r="AJ152" s="553"/>
      <c r="AK152" s="553" t="b">
        <f>MAX(ldl,fh_geo)&lt;AD152</f>
        <v>1</v>
      </c>
      <c r="AL152" s="553" t="b">
        <f t="shared" si="26"/>
        <v>0</v>
      </c>
      <c r="AM152" s="553" t="b">
        <f t="shared" ref="AM152:AM158" si="38">OR(AH152,AI152,AJ152,AK152,AL152)</f>
        <v>1</v>
      </c>
      <c r="AN152" s="553" t="e">
        <f t="shared" ref="AN152:AN158" si="39">AND(AG152,AM152)</f>
        <v>#VALUE!</v>
      </c>
      <c r="AO152" s="554">
        <v>80</v>
      </c>
      <c r="AP152" s="830">
        <v>55</v>
      </c>
      <c r="AQ152" s="830">
        <v>12.5</v>
      </c>
      <c r="AR152" s="629">
        <v>2.74</v>
      </c>
      <c r="AS152" s="629">
        <v>2.15</v>
      </c>
      <c r="AT152" s="830">
        <v>277</v>
      </c>
      <c r="AU152" s="830" t="s">
        <v>415</v>
      </c>
      <c r="AV152" s="836">
        <v>900</v>
      </c>
      <c r="AW152" s="655" t="s">
        <v>414</v>
      </c>
      <c r="AX152" s="655" t="s">
        <v>317</v>
      </c>
      <c r="AY152" s="655" t="str">
        <f t="shared" si="34"/>
        <v xml:space="preserve">Zwei Tauchmotorpumpen </v>
      </c>
      <c r="AZ152" s="655" t="s">
        <v>320</v>
      </c>
      <c r="BA152" s="400" t="s">
        <v>294</v>
      </c>
      <c r="BB152" s="400" t="s">
        <v>295</v>
      </c>
      <c r="BC152" s="830" t="str">
        <f t="shared" si="28"/>
        <v>Dreh</v>
      </c>
      <c r="BD152" s="830" t="str">
        <f t="shared" si="29"/>
        <v>3/N/PE 400 V 50 Hz</v>
      </c>
      <c r="BE152" s="830" t="str">
        <f t="shared" si="30"/>
        <v>1 m mit CEE 3/N/PE, 5-pol</v>
      </c>
      <c r="BF152" s="830"/>
      <c r="BG152" s="831"/>
    </row>
    <row r="153" spans="1:59">
      <c r="A153" s="400" t="s">
        <v>849</v>
      </c>
      <c r="B153" s="761" t="s">
        <v>869</v>
      </c>
      <c r="C153" s="736">
        <v>29795.21</v>
      </c>
      <c r="D153" s="400" t="s">
        <v>875</v>
      </c>
      <c r="E153" s="736">
        <v>26963.99</v>
      </c>
      <c r="F153" s="762" t="s">
        <v>144</v>
      </c>
      <c r="G153" s="763" t="s">
        <v>125</v>
      </c>
      <c r="H153" s="793" t="str">
        <f t="shared" si="22"/>
        <v>n.v</v>
      </c>
      <c r="I153" s="765">
        <v>180</v>
      </c>
      <c r="S153" s="820" t="str">
        <f>IF($R153="n",,"UZ4.900")</f>
        <v>UZ4.900</v>
      </c>
      <c r="T153" s="562">
        <v>0</v>
      </c>
      <c r="U153" s="655">
        <v>0</v>
      </c>
      <c r="V153" s="655">
        <v>0</v>
      </c>
      <c r="W153" s="563">
        <v>0</v>
      </c>
      <c r="X153" s="562">
        <v>580</v>
      </c>
      <c r="Y153" s="820" t="str">
        <f>IF($R153="n",,"UZ4.900")</f>
        <v>UZ4.900</v>
      </c>
      <c r="Z153" s="832">
        <v>0</v>
      </c>
      <c r="AA153" s="629">
        <f t="shared" si="31"/>
        <v>0</v>
      </c>
      <c r="AB153" s="629">
        <f t="shared" si="36"/>
        <v>0</v>
      </c>
      <c r="AC153" s="833">
        <f t="shared" si="23"/>
        <v>0</v>
      </c>
      <c r="AD153" s="833">
        <f t="shared" si="24"/>
        <v>115.38733374162412</v>
      </c>
      <c r="AE153" s="826" t="s">
        <v>221</v>
      </c>
      <c r="AF153" s="834">
        <f t="shared" si="32"/>
        <v>115.38733374162412</v>
      </c>
      <c r="AG153" s="763" t="e">
        <f t="shared" si="25"/>
        <v>#VALUE!</v>
      </c>
      <c r="AH153" s="553"/>
      <c r="AI153" s="553"/>
      <c r="AJ153" s="553"/>
      <c r="AK153" s="553" t="b">
        <f>MAX(ldl,fh_geo)&lt;AD152</f>
        <v>1</v>
      </c>
      <c r="AL153" s="553" t="b">
        <f t="shared" si="26"/>
        <v>0</v>
      </c>
      <c r="AM153" s="553" t="b">
        <f t="shared" si="38"/>
        <v>1</v>
      </c>
      <c r="AN153" s="553" t="e">
        <f t="shared" si="39"/>
        <v>#VALUE!</v>
      </c>
      <c r="AO153" s="554">
        <v>80</v>
      </c>
      <c r="AP153" s="830">
        <v>60</v>
      </c>
      <c r="AQ153" s="830">
        <v>17.2</v>
      </c>
      <c r="AR153" s="629">
        <v>3.72</v>
      </c>
      <c r="AS153" s="629">
        <v>3</v>
      </c>
      <c r="AT153" s="830">
        <v>281</v>
      </c>
      <c r="AU153" s="830" t="s">
        <v>415</v>
      </c>
      <c r="AV153" s="836">
        <v>900</v>
      </c>
      <c r="AW153" s="655" t="s">
        <v>414</v>
      </c>
      <c r="AX153" s="655" t="s">
        <v>317</v>
      </c>
      <c r="AY153" s="655" t="str">
        <f t="shared" si="34"/>
        <v xml:space="preserve">Zwei Tauchmotorpumpen </v>
      </c>
      <c r="AZ153" s="655" t="s">
        <v>320</v>
      </c>
      <c r="BA153" s="400" t="s">
        <v>294</v>
      </c>
      <c r="BB153" s="400" t="s">
        <v>295</v>
      </c>
      <c r="BC153" s="830" t="str">
        <f t="shared" si="28"/>
        <v>Dreh</v>
      </c>
      <c r="BD153" s="830" t="str">
        <f t="shared" si="29"/>
        <v>3/N/PE 400 V 50 Hz</v>
      </c>
      <c r="BE153" s="830" t="str">
        <f t="shared" si="30"/>
        <v>1 m mit CEE 3/N/PE, 5-pol</v>
      </c>
      <c r="BF153" s="830"/>
      <c r="BG153" s="831"/>
    </row>
    <row r="154" spans="1:59">
      <c r="A154" s="400" t="s">
        <v>850</v>
      </c>
      <c r="B154" s="761" t="s">
        <v>870</v>
      </c>
      <c r="C154" s="736">
        <v>28562.95</v>
      </c>
      <c r="D154" s="400" t="s">
        <v>876</v>
      </c>
      <c r="E154" s="736">
        <v>25848.83</v>
      </c>
      <c r="F154" s="794" t="s">
        <v>144</v>
      </c>
      <c r="G154" s="553">
        <v>113</v>
      </c>
      <c r="H154" s="795">
        <f t="shared" si="22"/>
        <v>22.480635711730216</v>
      </c>
      <c r="I154" s="796">
        <v>250</v>
      </c>
      <c r="S154" s="820" t="str">
        <f>IF($R154="n",,"UZ5.900")</f>
        <v>UZ5.900</v>
      </c>
      <c r="T154" s="562">
        <v>0</v>
      </c>
      <c r="U154" s="655">
        <v>0</v>
      </c>
      <c r="V154" s="655">
        <v>0</v>
      </c>
      <c r="W154" s="563">
        <v>0</v>
      </c>
      <c r="X154" s="562">
        <v>580</v>
      </c>
      <c r="Y154" s="820" t="str">
        <f>IF($R154="n",,"UZ5.900")</f>
        <v>UZ5.900</v>
      </c>
      <c r="Z154" s="832">
        <v>0</v>
      </c>
      <c r="AA154" s="629">
        <f t="shared" si="31"/>
        <v>0</v>
      </c>
      <c r="AB154" s="629">
        <f t="shared" si="36"/>
        <v>0</v>
      </c>
      <c r="AC154" s="833">
        <f t="shared" si="23"/>
        <v>0</v>
      </c>
      <c r="AD154" s="833">
        <f t="shared" si="24"/>
        <v>115.38733374162412</v>
      </c>
      <c r="AE154" s="826" t="s">
        <v>221</v>
      </c>
      <c r="AF154" s="834">
        <f t="shared" si="32"/>
        <v>115.38733374162412</v>
      </c>
      <c r="AG154" s="763" t="e">
        <f t="shared" si="25"/>
        <v>#VALUE!</v>
      </c>
      <c r="AH154" s="553"/>
      <c r="AI154" s="553"/>
      <c r="AJ154" s="553"/>
      <c r="AK154" s="553" t="b">
        <f>MAX(ldl,fh_geo)&lt;AD153</f>
        <v>1</v>
      </c>
      <c r="AL154" s="553" t="b">
        <f t="shared" si="26"/>
        <v>0</v>
      </c>
      <c r="AM154" s="553" t="b">
        <f t="shared" si="38"/>
        <v>1</v>
      </c>
      <c r="AN154" s="553" t="e">
        <f t="shared" si="39"/>
        <v>#VALUE!</v>
      </c>
      <c r="AO154" s="554">
        <v>80</v>
      </c>
      <c r="AP154" s="830">
        <v>71.5</v>
      </c>
      <c r="AQ154" s="830">
        <v>23</v>
      </c>
      <c r="AR154" s="629">
        <v>5.2</v>
      </c>
      <c r="AS154" s="629">
        <v>4.2</v>
      </c>
      <c r="AT154" s="830">
        <v>285</v>
      </c>
      <c r="AU154" s="830" t="s">
        <v>415</v>
      </c>
      <c r="AV154" s="836">
        <v>900</v>
      </c>
      <c r="AW154" s="655" t="s">
        <v>414</v>
      </c>
      <c r="AX154" s="655" t="s">
        <v>317</v>
      </c>
      <c r="AY154" s="655" t="str">
        <f t="shared" si="34"/>
        <v xml:space="preserve">Zwei Tauchmotorpumpen </v>
      </c>
      <c r="AZ154" s="655" t="s">
        <v>320</v>
      </c>
      <c r="BA154" s="400" t="s">
        <v>294</v>
      </c>
      <c r="BB154" s="400" t="s">
        <v>295</v>
      </c>
      <c r="BC154" s="830" t="str">
        <f t="shared" si="28"/>
        <v>Dreh</v>
      </c>
      <c r="BD154" s="830" t="str">
        <f t="shared" si="29"/>
        <v>3/N/PE 400 V 50 Hz</v>
      </c>
      <c r="BE154" s="830" t="str">
        <f t="shared" si="30"/>
        <v>1 m mit CEE 3/N/PE, 5-pol</v>
      </c>
      <c r="BF154" s="830"/>
      <c r="BG154" s="831"/>
    </row>
    <row r="155" spans="1:59">
      <c r="A155" s="400" t="s">
        <v>851</v>
      </c>
      <c r="B155" s="761" t="s">
        <v>871</v>
      </c>
      <c r="C155" s="736">
        <v>29380.26</v>
      </c>
      <c r="D155" s="400" t="s">
        <v>877</v>
      </c>
      <c r="E155" s="736">
        <v>26588.47</v>
      </c>
      <c r="F155" s="794" t="s">
        <v>144</v>
      </c>
      <c r="G155" s="553">
        <v>113</v>
      </c>
      <c r="H155" s="795">
        <f t="shared" si="22"/>
        <v>22.480635711730216</v>
      </c>
      <c r="I155" s="796">
        <v>320</v>
      </c>
      <c r="S155" s="820" t="s">
        <v>743</v>
      </c>
      <c r="T155" s="562">
        <v>10</v>
      </c>
      <c r="U155" s="655">
        <v>0</v>
      </c>
      <c r="V155" s="655">
        <v>0</v>
      </c>
      <c r="W155" s="563">
        <v>17</v>
      </c>
      <c r="X155" s="562">
        <v>0</v>
      </c>
      <c r="Y155" s="820" t="s">
        <v>743</v>
      </c>
      <c r="Z155" s="832">
        <f>(4*T155/(PI()*(dn/100)^2)/10)</f>
        <v>1.9894367886486914</v>
      </c>
      <c r="AA155" s="629">
        <f t="shared" si="31"/>
        <v>0</v>
      </c>
      <c r="AB155" s="629">
        <f t="shared" si="36"/>
        <v>0</v>
      </c>
      <c r="AC155" s="833">
        <f t="shared" si="23"/>
        <v>3.3820425407027757</v>
      </c>
      <c r="AD155" s="833">
        <f t="shared" si="24"/>
        <v>0</v>
      </c>
      <c r="AE155" s="826" t="s">
        <v>220</v>
      </c>
      <c r="AF155" s="834">
        <f t="shared" si="32"/>
        <v>3.3820425407027757</v>
      </c>
      <c r="AG155" s="763" t="e">
        <f t="shared" si="25"/>
        <v>#VALUE!</v>
      </c>
      <c r="AH155" s="763" t="b">
        <f>MAX(ldl,fh_geo)&lt;Z155</f>
        <v>1</v>
      </c>
      <c r="AL155" s="553" t="b">
        <f t="shared" si="26"/>
        <v>1</v>
      </c>
      <c r="AM155" s="553" t="b">
        <f t="shared" si="38"/>
        <v>1</v>
      </c>
      <c r="AN155" s="835" t="e">
        <f t="shared" si="39"/>
        <v>#VALUE!</v>
      </c>
      <c r="AO155" s="839">
        <v>32</v>
      </c>
      <c r="AP155" s="840">
        <v>14.2</v>
      </c>
      <c r="AQ155" s="840">
        <v>25</v>
      </c>
      <c r="AR155" s="655">
        <f>IF(spannung=230,2.3,1.75)</f>
        <v>1.75</v>
      </c>
      <c r="AS155" s="655">
        <f>IF(spannung=230,1.5,1.5)</f>
        <v>1.5</v>
      </c>
      <c r="AT155" s="830">
        <f>IF(spannung=230,37,37)</f>
        <v>37</v>
      </c>
      <c r="AV155" s="841">
        <v>40</v>
      </c>
      <c r="AW155" s="842" t="s">
        <v>769</v>
      </c>
      <c r="AX155" s="655" t="s">
        <v>316</v>
      </c>
      <c r="AY155" s="655" t="str">
        <f t="shared" si="34"/>
        <v xml:space="preserve">Einer Tauchmotorpumpe </v>
      </c>
      <c r="AZ155" s="655" t="s">
        <v>320</v>
      </c>
      <c r="BA155" s="655" t="s">
        <v>322</v>
      </c>
      <c r="BC155" s="830" t="str">
        <f t="shared" si="28"/>
        <v>Dreh</v>
      </c>
      <c r="BD155" s="830" t="str">
        <f t="shared" si="29"/>
        <v>3/N/PE 400 V 50 Hz</v>
      </c>
      <c r="BE155" s="830" t="str">
        <f t="shared" si="30"/>
        <v>1 m mit CEE 3/N/PE, 5-pol</v>
      </c>
      <c r="BG155" s="831" t="s">
        <v>896</v>
      </c>
    </row>
    <row r="156" spans="1:59">
      <c r="A156" s="400" t="s">
        <v>852</v>
      </c>
      <c r="B156" s="761" t="s">
        <v>872</v>
      </c>
      <c r="C156" s="736">
        <v>30171.77</v>
      </c>
      <c r="D156" s="400" t="s">
        <v>878</v>
      </c>
      <c r="E156" s="736">
        <v>27304.77</v>
      </c>
      <c r="F156" s="789" t="s">
        <v>144</v>
      </c>
      <c r="G156" s="790">
        <v>133</v>
      </c>
      <c r="H156" s="791">
        <f t="shared" si="22"/>
        <v>26.459509289027597</v>
      </c>
      <c r="I156" s="792" t="s">
        <v>496</v>
      </c>
      <c r="S156" s="820" t="s">
        <v>744</v>
      </c>
      <c r="T156" s="562">
        <v>33</v>
      </c>
      <c r="U156" s="655">
        <v>46</v>
      </c>
      <c r="V156" s="655">
        <v>0</v>
      </c>
      <c r="W156" s="563">
        <v>64</v>
      </c>
      <c r="X156" s="562">
        <v>0</v>
      </c>
      <c r="Y156" s="820" t="s">
        <v>744</v>
      </c>
      <c r="Z156" s="832">
        <f>(4*T156/(PI()*(dn/100)^2)/10)</f>
        <v>6.5651414025406822</v>
      </c>
      <c r="AA156" s="629">
        <f t="shared" si="31"/>
        <v>9.1514092277839811</v>
      </c>
      <c r="AB156" s="629">
        <f t="shared" si="36"/>
        <v>0</v>
      </c>
      <c r="AC156" s="833">
        <f t="shared" si="23"/>
        <v>12.732395447351626</v>
      </c>
      <c r="AD156" s="833">
        <f t="shared" si="24"/>
        <v>0</v>
      </c>
      <c r="AE156" s="826" t="s">
        <v>220</v>
      </c>
      <c r="AF156" s="834">
        <f t="shared" si="32"/>
        <v>12.732395447351626</v>
      </c>
      <c r="AG156" s="763" t="e">
        <f t="shared" si="25"/>
        <v>#VALUE!</v>
      </c>
      <c r="AH156" s="763" t="b">
        <f>MAX(ldl,fh_geo)&lt;Z156</f>
        <v>1</v>
      </c>
      <c r="AI156" s="553" t="b">
        <f>MAX(ldl,fh_geo)&lt;AA156</f>
        <v>1</v>
      </c>
      <c r="AL156" s="553" t="b">
        <f t="shared" si="26"/>
        <v>1</v>
      </c>
      <c r="AM156" s="553" t="b">
        <f t="shared" si="38"/>
        <v>1</v>
      </c>
      <c r="AN156" s="835" t="e">
        <f t="shared" si="39"/>
        <v>#VALUE!</v>
      </c>
      <c r="AO156" s="839">
        <v>50</v>
      </c>
      <c r="AP156" s="840">
        <v>14.5</v>
      </c>
      <c r="AQ156" s="840">
        <v>25</v>
      </c>
      <c r="AR156" s="655">
        <f>IF(spannung=230,2,1.75)</f>
        <v>1.75</v>
      </c>
      <c r="AS156" s="655">
        <f>IF(spannung=230,1.5,1.5)</f>
        <v>1.5</v>
      </c>
      <c r="AT156" s="830">
        <f>IF(spannung=230,80,49)</f>
        <v>49</v>
      </c>
      <c r="AV156" s="841">
        <v>100</v>
      </c>
      <c r="AW156" s="655" t="s">
        <v>363</v>
      </c>
      <c r="AX156" s="655" t="s">
        <v>316</v>
      </c>
      <c r="AY156" s="655" t="str">
        <f t="shared" si="34"/>
        <v xml:space="preserve">Einer Tauchmotorpumpe </v>
      </c>
      <c r="AZ156" s="655" t="s">
        <v>320</v>
      </c>
      <c r="BA156" s="400" t="s">
        <v>294</v>
      </c>
      <c r="BB156" s="400" t="s">
        <v>295</v>
      </c>
      <c r="BC156" s="830" t="str">
        <f t="shared" si="28"/>
        <v>Dreh</v>
      </c>
      <c r="BD156" s="830" t="str">
        <f t="shared" si="29"/>
        <v>3/N/PE 400 V 50 Hz</v>
      </c>
      <c r="BE156" s="830" t="str">
        <f t="shared" si="30"/>
        <v>1 m mit CEE 3/N/PE, 5-pol</v>
      </c>
      <c r="BG156" s="831" t="s">
        <v>896</v>
      </c>
    </row>
    <row r="157" spans="1:59">
      <c r="A157" s="400" t="s">
        <v>853</v>
      </c>
      <c r="B157" s="761" t="s">
        <v>879</v>
      </c>
      <c r="C157" s="736">
        <v>31653.49</v>
      </c>
      <c r="D157" s="400" t="s">
        <v>885</v>
      </c>
      <c r="E157" s="736">
        <v>28645.69</v>
      </c>
      <c r="F157" s="762" t="s">
        <v>145</v>
      </c>
      <c r="G157" s="763" t="s">
        <v>125</v>
      </c>
      <c r="H157" s="793" t="str">
        <f t="shared" si="22"/>
        <v>n.v</v>
      </c>
      <c r="I157" s="765">
        <v>180</v>
      </c>
      <c r="S157" s="820" t="s">
        <v>745</v>
      </c>
      <c r="T157" s="562">
        <v>33</v>
      </c>
      <c r="U157" s="655">
        <v>46</v>
      </c>
      <c r="V157" s="655">
        <v>0</v>
      </c>
      <c r="W157" s="563">
        <v>64</v>
      </c>
      <c r="X157" s="562">
        <v>0</v>
      </c>
      <c r="Y157" s="820" t="s">
        <v>745</v>
      </c>
      <c r="Z157" s="832">
        <f>(4*T157/(PI()*(dn/100)^2)/10)</f>
        <v>6.5651414025406822</v>
      </c>
      <c r="AA157" s="629">
        <f t="shared" si="31"/>
        <v>9.1514092277839811</v>
      </c>
      <c r="AB157" s="629">
        <f t="shared" si="36"/>
        <v>0</v>
      </c>
      <c r="AC157" s="833">
        <f t="shared" si="23"/>
        <v>12.732395447351626</v>
      </c>
      <c r="AD157" s="833">
        <f t="shared" si="24"/>
        <v>0</v>
      </c>
      <c r="AE157" s="826" t="s">
        <v>220</v>
      </c>
      <c r="AF157" s="834">
        <f t="shared" si="32"/>
        <v>12.732395447351626</v>
      </c>
      <c r="AG157" s="763" t="e">
        <f t="shared" si="25"/>
        <v>#VALUE!</v>
      </c>
      <c r="AH157" s="763" t="b">
        <f>MAX(ldl,fh_geo)&lt;Z157</f>
        <v>1</v>
      </c>
      <c r="AI157" s="553" t="b">
        <f>MAX(ldl,fh_geo)&lt;AA157</f>
        <v>1</v>
      </c>
      <c r="AL157" s="553" t="b">
        <f t="shared" si="26"/>
        <v>1</v>
      </c>
      <c r="AM157" s="553" t="b">
        <f t="shared" si="38"/>
        <v>1</v>
      </c>
      <c r="AN157" s="835" t="e">
        <f t="shared" si="39"/>
        <v>#VALUE!</v>
      </c>
      <c r="AO157" s="839">
        <v>50</v>
      </c>
      <c r="AP157" s="840">
        <v>14.5</v>
      </c>
      <c r="AQ157" s="840">
        <v>25</v>
      </c>
      <c r="AR157" s="655">
        <f>IF(spannung=230,2,1.75)</f>
        <v>1.75</v>
      </c>
      <c r="AS157" s="655">
        <f>IF(spannung=230,1.5,1.5)</f>
        <v>1.5</v>
      </c>
      <c r="AT157" s="830">
        <f>IF(spannung=230,80,49)</f>
        <v>49</v>
      </c>
      <c r="AV157" s="841">
        <v>100</v>
      </c>
      <c r="AW157" s="655" t="s">
        <v>363</v>
      </c>
      <c r="AX157" s="655" t="s">
        <v>316</v>
      </c>
      <c r="AY157" s="655" t="str">
        <f t="shared" si="34"/>
        <v xml:space="preserve">Einer Tauchmotorpumpe </v>
      </c>
      <c r="AZ157" s="655" t="s">
        <v>320</v>
      </c>
      <c r="BA157" s="400" t="s">
        <v>294</v>
      </c>
      <c r="BB157" s="400" t="s">
        <v>295</v>
      </c>
      <c r="BC157" s="830" t="str">
        <f t="shared" si="28"/>
        <v>Dreh</v>
      </c>
      <c r="BD157" s="830" t="str">
        <f t="shared" si="29"/>
        <v>3/N/PE 400 V 50 Hz</v>
      </c>
      <c r="BE157" s="830" t="str">
        <f t="shared" si="30"/>
        <v>1 m mit CEE 3/N/PE, 5-pol</v>
      </c>
      <c r="BG157" s="831" t="s">
        <v>896</v>
      </c>
    </row>
    <row r="158" spans="1:59">
      <c r="A158" s="400" t="s">
        <v>854</v>
      </c>
      <c r="B158" s="761" t="s">
        <v>880</v>
      </c>
      <c r="C158" s="736">
        <v>32559.81</v>
      </c>
      <c r="D158" s="400" t="s">
        <v>886</v>
      </c>
      <c r="E158" s="736">
        <v>29465.89</v>
      </c>
      <c r="F158" s="794" t="s">
        <v>145</v>
      </c>
      <c r="G158" s="553">
        <v>113</v>
      </c>
      <c r="H158" s="795">
        <f t="shared" si="22"/>
        <v>22.480635711730216</v>
      </c>
      <c r="I158" s="796">
        <v>250</v>
      </c>
      <c r="S158" s="820" t="s">
        <v>746</v>
      </c>
      <c r="T158" s="562">
        <v>0</v>
      </c>
      <c r="U158" s="655">
        <v>85</v>
      </c>
      <c r="V158" s="655">
        <v>0</v>
      </c>
      <c r="W158" s="563">
        <v>95</v>
      </c>
      <c r="X158" s="562">
        <v>0</v>
      </c>
      <c r="Y158" s="820" t="s">
        <v>746</v>
      </c>
      <c r="Z158" s="832">
        <f>(4*T158/(PI()*(dn/100)^2)/10)</f>
        <v>0</v>
      </c>
      <c r="AA158" s="629">
        <f t="shared" si="31"/>
        <v>16.910212703513878</v>
      </c>
      <c r="AB158" s="629">
        <f t="shared" si="36"/>
        <v>0</v>
      </c>
      <c r="AC158" s="833">
        <f t="shared" si="23"/>
        <v>18.89964949216257</v>
      </c>
      <c r="AD158" s="833">
        <f t="shared" si="24"/>
        <v>0</v>
      </c>
      <c r="AE158" s="826" t="s">
        <v>220</v>
      </c>
      <c r="AF158" s="834">
        <f t="shared" si="32"/>
        <v>18.89964949216257</v>
      </c>
      <c r="AG158" s="763" t="e">
        <f t="shared" si="25"/>
        <v>#VALUE!</v>
      </c>
      <c r="AH158" s="763" t="b">
        <f>MAX(ldl,fh_geo)&lt;Z158</f>
        <v>0</v>
      </c>
      <c r="AI158" s="553" t="b">
        <f>MAX(ldl,fh_geo)&lt;AA158</f>
        <v>1</v>
      </c>
      <c r="AL158" s="553" t="b">
        <f t="shared" si="26"/>
        <v>1</v>
      </c>
      <c r="AM158" s="553" t="b">
        <f t="shared" si="38"/>
        <v>1</v>
      </c>
      <c r="AN158" s="835" t="e">
        <f t="shared" si="39"/>
        <v>#VALUE!</v>
      </c>
      <c r="AO158" s="839">
        <v>50</v>
      </c>
      <c r="AP158" s="840">
        <v>14.5</v>
      </c>
      <c r="AQ158" s="840">
        <v>25</v>
      </c>
      <c r="AR158" s="655">
        <f>IF(spannung=230,2,1.75)</f>
        <v>1.75</v>
      </c>
      <c r="AS158" s="655">
        <f>IF(spannung=230,1.5,1.5)</f>
        <v>1.5</v>
      </c>
      <c r="AT158" s="830">
        <f>IF(spannung=230,121.6,121.6)</f>
        <v>121.6</v>
      </c>
      <c r="AV158" s="841">
        <v>150</v>
      </c>
      <c r="AW158" s="655" t="s">
        <v>364</v>
      </c>
      <c r="AX158" s="655" t="s">
        <v>317</v>
      </c>
      <c r="AY158" s="655" t="str">
        <f t="shared" si="34"/>
        <v xml:space="preserve">Zwei Tauchmotorpumpen </v>
      </c>
      <c r="AZ158" s="655" t="s">
        <v>320</v>
      </c>
      <c r="BA158" s="400" t="s">
        <v>294</v>
      </c>
      <c r="BB158" s="400" t="s">
        <v>295</v>
      </c>
      <c r="BC158" s="830" t="str">
        <f t="shared" si="28"/>
        <v>Dreh</v>
      </c>
      <c r="BD158" s="830" t="str">
        <f t="shared" si="29"/>
        <v>3/N/PE 400 V 50 Hz</v>
      </c>
      <c r="BE158" s="830" t="str">
        <f t="shared" si="30"/>
        <v>1 m mit CEE 3/N/PE, 5-pol</v>
      </c>
      <c r="BG158" s="831" t="s">
        <v>896</v>
      </c>
    </row>
    <row r="159" spans="1:59">
      <c r="A159" s="400" t="s">
        <v>855</v>
      </c>
      <c r="B159" s="761" t="s">
        <v>881</v>
      </c>
      <c r="C159" s="736">
        <v>33449.72</v>
      </c>
      <c r="D159" s="400" t="s">
        <v>887</v>
      </c>
      <c r="E159" s="736">
        <v>30271.24</v>
      </c>
      <c r="F159" s="794" t="s">
        <v>145</v>
      </c>
      <c r="G159" s="553">
        <v>113</v>
      </c>
      <c r="H159" s="795">
        <f t="shared" si="22"/>
        <v>22.480635711730216</v>
      </c>
      <c r="I159" s="796">
        <v>320</v>
      </c>
      <c r="S159" s="820" t="s">
        <v>747</v>
      </c>
      <c r="T159" s="562">
        <v>0</v>
      </c>
      <c r="U159" s="655">
        <v>85</v>
      </c>
      <c r="V159" s="655">
        <v>0</v>
      </c>
      <c r="W159" s="563">
        <v>95</v>
      </c>
      <c r="X159" s="562">
        <v>0</v>
      </c>
      <c r="Y159" s="820" t="s">
        <v>747</v>
      </c>
      <c r="Z159" s="832">
        <f>(4*T159/(PI()*(dn/100)^2)/10)</f>
        <v>0</v>
      </c>
      <c r="AA159" s="629">
        <f>(4*U159/(PI()*(dn/100)^2)/10)</f>
        <v>16.910212703513878</v>
      </c>
      <c r="AB159" s="629">
        <f>(4*V159/(PI()*(dn/100)^2)/10)</f>
        <v>0</v>
      </c>
      <c r="AC159" s="833">
        <f>(4*W159/(PI()*(dn/100)^2)/10)</f>
        <v>18.89964949216257</v>
      </c>
      <c r="AD159" s="833">
        <f>(4*X159/(PI()*(dn/100)^2)/10)</f>
        <v>0</v>
      </c>
      <c r="AE159" s="826" t="s">
        <v>220</v>
      </c>
      <c r="AF159" s="834">
        <f>MAX(Z159:AD159)</f>
        <v>18.89964949216257</v>
      </c>
      <c r="AG159" s="763" t="e">
        <f t="shared" si="25"/>
        <v>#VALUE!</v>
      </c>
      <c r="AH159" s="763" t="b">
        <f>MAX(ldl,fh_geo)&lt;Z159</f>
        <v>0</v>
      </c>
      <c r="AI159" s="553" t="b">
        <f>MAX(ldl,fh_geo)&lt;AA159</f>
        <v>1</v>
      </c>
      <c r="AL159" s="553" t="b">
        <f>IF(vzulauf="nein",FALSE(),MAX(ldl,fh_geo)&lt;AC159)</f>
        <v>1</v>
      </c>
      <c r="AM159" s="553" t="b">
        <f>OR(AH159,AI159,AJ159,AK159,AL159)</f>
        <v>1</v>
      </c>
      <c r="AN159" s="835" t="e">
        <f>AND(AG159,AM159)</f>
        <v>#VALUE!</v>
      </c>
      <c r="AO159" s="839">
        <v>50</v>
      </c>
      <c r="AP159" s="840">
        <v>14.5</v>
      </c>
      <c r="AQ159" s="840">
        <v>25</v>
      </c>
      <c r="AR159" s="655">
        <f>IF(spannung=230,2,1.75)</f>
        <v>1.75</v>
      </c>
      <c r="AS159" s="655">
        <f>IF(spannung=230,1.5,1.5)</f>
        <v>1.5</v>
      </c>
      <c r="AT159" s="830">
        <f>IF(spannung=230,121.6,121.6)</f>
        <v>121.6</v>
      </c>
      <c r="AV159" s="841">
        <v>150</v>
      </c>
      <c r="AW159" s="655" t="s">
        <v>364</v>
      </c>
      <c r="AX159" s="655" t="s">
        <v>317</v>
      </c>
      <c r="AY159" s="655" t="str">
        <f t="shared" si="34"/>
        <v xml:space="preserve">Zwei Tauchmotorpumpen </v>
      </c>
      <c r="AZ159" s="655" t="s">
        <v>320</v>
      </c>
      <c r="BA159" s="400" t="s">
        <v>294</v>
      </c>
      <c r="BB159" s="400" t="s">
        <v>295</v>
      </c>
      <c r="BC159" s="830" t="str">
        <f t="shared" si="28"/>
        <v>Dreh</v>
      </c>
      <c r="BD159" s="830" t="str">
        <f t="shared" si="29"/>
        <v>3/N/PE 400 V 50 Hz</v>
      </c>
      <c r="BE159" s="830" t="str">
        <f t="shared" si="30"/>
        <v>1 m mit CEE 3/N/PE, 5-pol</v>
      </c>
      <c r="BG159" s="831" t="s">
        <v>896</v>
      </c>
    </row>
    <row r="160" spans="1:59" ht="12.75" thickBot="1">
      <c r="A160" s="400" t="s">
        <v>856</v>
      </c>
      <c r="B160" s="761" t="s">
        <v>882</v>
      </c>
      <c r="C160" s="736">
        <v>35311.07</v>
      </c>
      <c r="D160" s="400" t="s">
        <v>888</v>
      </c>
      <c r="E160" s="736">
        <v>31955.72</v>
      </c>
      <c r="F160" s="789" t="s">
        <v>145</v>
      </c>
      <c r="G160" s="790">
        <v>133</v>
      </c>
      <c r="H160" s="791">
        <f t="shared" si="22"/>
        <v>26.459509289027597</v>
      </c>
      <c r="I160" s="792" t="s">
        <v>496</v>
      </c>
      <c r="S160" s="843"/>
      <c r="T160" s="814">
        <f>T131</f>
        <v>180</v>
      </c>
      <c r="U160" s="814">
        <f>U131</f>
        <v>250</v>
      </c>
      <c r="V160" s="814">
        <f>V131</f>
        <v>320</v>
      </c>
      <c r="W160" s="814">
        <v>0</v>
      </c>
      <c r="X160" s="814">
        <f>X131</f>
        <v>700</v>
      </c>
      <c r="Y160" s="820"/>
      <c r="Z160" s="814">
        <f>Z131</f>
        <v>180</v>
      </c>
      <c r="AA160" s="814">
        <v>250</v>
      </c>
      <c r="AB160" s="814">
        <v>320</v>
      </c>
      <c r="AC160" s="814" t="str">
        <f>AC131</f>
        <v>vertikal</v>
      </c>
      <c r="AD160" s="814">
        <f>AD131</f>
        <v>700</v>
      </c>
      <c r="AZ160" s="655"/>
      <c r="BC160" s="830"/>
      <c r="BD160" s="830"/>
      <c r="BE160" s="830"/>
    </row>
    <row r="161" spans="1:59" ht="12.75" thickBot="1">
      <c r="A161" s="400" t="s">
        <v>857</v>
      </c>
      <c r="B161" s="761" t="s">
        <v>883</v>
      </c>
      <c r="C161" s="736">
        <v>36322.699999999997</v>
      </c>
      <c r="D161" s="400" t="s">
        <v>889</v>
      </c>
      <c r="E161" s="736">
        <v>32871.22</v>
      </c>
      <c r="F161" s="762" t="s">
        <v>146</v>
      </c>
      <c r="G161" s="763" t="s">
        <v>125</v>
      </c>
      <c r="H161" s="793" t="str">
        <f t="shared" ref="H161:H194" si="40">IF(G161="nv","n.v",(4*G161/(PI()*(dn/100)^2)/10))</f>
        <v>n.v</v>
      </c>
      <c r="I161" s="765">
        <v>180</v>
      </c>
      <c r="S161" s="837"/>
      <c r="T161" s="837"/>
      <c r="W161" s="400" t="s">
        <v>190</v>
      </c>
      <c r="Y161" s="844" t="e">
        <f>IF(laufrad_form="F",CHOOSE(MATCH(TRUE,$AN$132:$AN$154,0),Y132,Y133,Y134,Y135,Y136,Y137,Y138,Y139,Y140,Y141,Y142,Y143,Y144,Y145,Y146,Y147,Y148,Y149,Y150,Y151,Y152,Y153,Y154),CHOOSE(MATCH(TRUE,$AN$155:$AN$159,0),Y155,Y156,Y157,Y158,Y159))</f>
        <v>#N/A</v>
      </c>
      <c r="Z161" s="844" t="e">
        <f>AH161</f>
        <v>#N/A</v>
      </c>
      <c r="AA161" s="844" t="e">
        <f>AI161</f>
        <v>#N/A</v>
      </c>
      <c r="AB161" s="845" t="e">
        <f>AJ161</f>
        <v>#N/A</v>
      </c>
      <c r="AC161" s="845" t="e">
        <f>AL161</f>
        <v>#N/A</v>
      </c>
      <c r="AD161" s="845" t="e">
        <f>AM161</f>
        <v>#N/A</v>
      </c>
      <c r="AE161" s="649"/>
      <c r="AF161" s="846">
        <f>MAX(AF132:AF159)</f>
        <v>115.38733374162412</v>
      </c>
      <c r="AG161" s="847" t="e">
        <f t="shared" ref="AG161:AN161" si="41">IF(laufrad_form="F",CHOOSE($Y$162,AG132,AG133,AG134,AG135,AG136,AG137,AG138,AG139,AG140,AG141,AG142,AG143,AG144,AG145,AG146,AG147,AG148,AG149,AG150,AG151,AG152,AG153,AG154),CHOOSE($Y$162,AG155,AG156,AG157,AG158,AG159))</f>
        <v>#N/A</v>
      </c>
      <c r="AH161" s="847" t="e">
        <f t="shared" si="41"/>
        <v>#N/A</v>
      </c>
      <c r="AI161" s="847" t="e">
        <f t="shared" si="41"/>
        <v>#N/A</v>
      </c>
      <c r="AJ161" s="847" t="e">
        <f t="shared" si="41"/>
        <v>#N/A</v>
      </c>
      <c r="AK161" s="847" t="e">
        <f t="shared" si="41"/>
        <v>#N/A</v>
      </c>
      <c r="AL161" s="847" t="e">
        <f t="shared" si="41"/>
        <v>#N/A</v>
      </c>
      <c r="AM161" s="847" t="e">
        <f t="shared" si="41"/>
        <v>#N/A</v>
      </c>
      <c r="AN161" s="847" t="e">
        <f t="shared" si="41"/>
        <v>#N/A</v>
      </c>
      <c r="AO161" s="847" t="e">
        <f>IF(laufrad_form="F",CHOOSE($Y$162,AO132,AO133,AO134,AO135,AO136,AO137,AO138,AO139,AO140,AO141,AO142,AO143,AO144,AO145,AO146,AO147,AO148,AO149,AO150,AO151,AO152,AO153,AO154),CHOOSE($Y$162,AO155,AO156,AO157,AO158,AO159))</f>
        <v>#N/A</v>
      </c>
      <c r="AP161" s="848" t="e">
        <f>VLOOKUP(anlage_ermittelt,$Y$132:$BG$159,18,FALSE)</f>
        <v>#N/A</v>
      </c>
      <c r="AQ161" s="848" t="e">
        <f>VLOOKUP(anlage_ermittelt,$Y$132:$BG$159,19,FALSE)</f>
        <v>#N/A</v>
      </c>
      <c r="AR161" s="846" t="e">
        <f>VLOOKUP(anlage_ermittelt,$Y$132:$BG$159,20,FALSE)</f>
        <v>#N/A</v>
      </c>
      <c r="AS161" s="846" t="e">
        <f>VLOOKUP(anlage_ermittelt,$Y$132:$BG$159,21,FALSE)</f>
        <v>#N/A</v>
      </c>
      <c r="AT161" s="848" t="e">
        <f>VLOOKUP(anlage_ermittelt,$Y$132:$BG$159,22,FALSE)</f>
        <v>#N/A</v>
      </c>
      <c r="AU161" s="848" t="e">
        <f>VLOOKUP(anlage_ermittelt,$Y$132:$BG$154,23,FALSE)</f>
        <v>#N/A</v>
      </c>
      <c r="AV161" s="848" t="e">
        <f>VLOOKUP(anlage_ermittelt,$Y$132:$BG$159,24,FALSE)</f>
        <v>#N/A</v>
      </c>
      <c r="AW161" s="848" t="e">
        <f>VLOOKUP(anlage_ermittelt,$Y$132:$BG$159,25,FALSE)</f>
        <v>#N/A</v>
      </c>
      <c r="AX161" s="848" t="e">
        <f>VLOOKUP(anlage_ermittelt,$Y$132:$BG$159,26,FALSE)</f>
        <v>#N/A</v>
      </c>
      <c r="AY161" s="848" t="e">
        <f>VLOOKUP(anlage_ermittelt,$Y$132:$BG$159,27,FALSE)</f>
        <v>#N/A</v>
      </c>
      <c r="AZ161" s="848" t="e">
        <f>VLOOKUP(anlage_ermittelt,$Y$132:$BG$159,28,FALSE)</f>
        <v>#N/A</v>
      </c>
      <c r="BA161" s="848" t="e">
        <f>VLOOKUP(anlage_ermittelt,$Y$132:$BG$159,29,FALSE)</f>
        <v>#N/A</v>
      </c>
      <c r="BB161" s="848" t="e">
        <f>VLOOKUP(anlage_ermittelt,$Y$132:$BG$159,30,FALSE)</f>
        <v>#N/A</v>
      </c>
      <c r="BC161" s="848" t="e">
        <f>VLOOKUP(anlage_ermittelt,$Y$132:$BG$159,31,FALSE)</f>
        <v>#N/A</v>
      </c>
      <c r="BD161" s="848" t="e">
        <f>VLOOKUP(anlage_ermittelt,$Y$132:$BG$159,32,FALSE)</f>
        <v>#N/A</v>
      </c>
      <c r="BE161" s="848" t="e">
        <f>VLOOKUP(anlage_ermittelt,$Y$132:$BG$159,33,FALSE)</f>
        <v>#N/A</v>
      </c>
      <c r="BF161" s="848" t="e">
        <f>VLOOKUP(anlage_ermittelt,$Y$132:$BG$159,34,FALSE)</f>
        <v>#N/A</v>
      </c>
      <c r="BG161" s="849" t="e">
        <f>VLOOKUP(anlage_ermittelt,$Y$132:$BG$159,35,FALSE)</f>
        <v>#N/A</v>
      </c>
    </row>
    <row r="162" spans="1:59" ht="12.75" thickBot="1">
      <c r="A162" s="400" t="s">
        <v>858</v>
      </c>
      <c r="B162" s="761" t="s">
        <v>884</v>
      </c>
      <c r="C162" s="736">
        <v>37324.17</v>
      </c>
      <c r="D162" s="400" t="s">
        <v>890</v>
      </c>
      <c r="E162" s="736">
        <v>33777.53</v>
      </c>
      <c r="F162" s="794" t="s">
        <v>146</v>
      </c>
      <c r="G162" s="553">
        <v>113</v>
      </c>
      <c r="H162" s="795">
        <f t="shared" si="40"/>
        <v>22.480635711730216</v>
      </c>
      <c r="I162" s="796">
        <v>250</v>
      </c>
      <c r="W162" s="400" t="s">
        <v>188</v>
      </c>
      <c r="Y162" s="847" t="e">
        <f>IF(laufrad_form="F",MATCH(TRUE,AN132:AN154,0),MATCH(TRUE,AN155:AN159,0))</f>
        <v>#N/A</v>
      </c>
      <c r="AD162" s="646"/>
      <c r="AE162" s="826" t="e">
        <f>VLOOKUP(anlage_ermittelt,Y131:AE145,7,FALSE)</f>
        <v>#N/A</v>
      </c>
      <c r="AF162" s="819"/>
    </row>
    <row r="163" spans="1:59" ht="12.75" thickBot="1">
      <c r="E163" s="753"/>
      <c r="F163" s="794" t="s">
        <v>146</v>
      </c>
      <c r="G163" s="553">
        <v>113</v>
      </c>
      <c r="H163" s="795">
        <f t="shared" si="40"/>
        <v>22.480635711730216</v>
      </c>
      <c r="I163" s="796">
        <v>320</v>
      </c>
      <c r="W163" s="400" t="s">
        <v>189</v>
      </c>
      <c r="Y163" s="847" t="e">
        <f>IF(MAX(ldl,fh_geo)&gt;$AF$161,meldung_5,IF(Z161=TRUE,Z160,IF(AA161=TRUE,AA160,IF(AB161=TRUE,AB160,IF(AC161=TRUE,AC160,IF(AD161=TRUE,AD160,"Anschluß n.v."))))))</f>
        <v>#N/A</v>
      </c>
      <c r="Z163" s="400" t="s">
        <v>290</v>
      </c>
      <c r="AA163" s="400" t="b">
        <f>OR(ISNA(zulauf_ermittelt)=TRUE,ISNA(zulauf_ermittelt)=TRUE)</f>
        <v>1</v>
      </c>
    </row>
    <row r="164" spans="1:59" ht="12.75" thickBot="1">
      <c r="E164" s="753"/>
      <c r="F164" s="789" t="s">
        <v>146</v>
      </c>
      <c r="G164" s="790">
        <v>133</v>
      </c>
      <c r="H164" s="791">
        <f t="shared" si="40"/>
        <v>26.459509289027597</v>
      </c>
      <c r="I164" s="792" t="s">
        <v>496</v>
      </c>
      <c r="W164" s="598" t="s">
        <v>279</v>
      </c>
      <c r="X164" s="598"/>
      <c r="Y164" s="847" t="e">
        <f>VLOOKUP(anlage_ermittelt,Y131:AO159,17,FALSE)</f>
        <v>#N/A</v>
      </c>
    </row>
    <row r="165" spans="1:59">
      <c r="E165" s="753"/>
      <c r="F165" s="762" t="s">
        <v>392</v>
      </c>
      <c r="G165" s="763" t="s">
        <v>125</v>
      </c>
      <c r="H165" s="793" t="str">
        <f t="shared" si="40"/>
        <v>n.v</v>
      </c>
      <c r="I165" s="765">
        <v>180</v>
      </c>
      <c r="AA165" s="400" t="str">
        <f>IF(ISNA(zulauf_ermittelt)=TRUE,"!","§")</f>
        <v>!</v>
      </c>
    </row>
    <row r="166" spans="1:59">
      <c r="E166" s="753"/>
      <c r="F166" s="762" t="s">
        <v>392</v>
      </c>
      <c r="G166" s="763" t="s">
        <v>125</v>
      </c>
      <c r="H166" s="795" t="str">
        <f t="shared" si="40"/>
        <v>n.v</v>
      </c>
      <c r="I166" s="796">
        <v>250</v>
      </c>
    </row>
    <row r="167" spans="1:59">
      <c r="E167" s="753"/>
      <c r="F167" s="762" t="s">
        <v>392</v>
      </c>
      <c r="G167" s="763" t="s">
        <v>125</v>
      </c>
      <c r="H167" s="795" t="str">
        <f t="shared" si="40"/>
        <v>n.v</v>
      </c>
      <c r="I167" s="796">
        <v>320</v>
      </c>
      <c r="Z167" s="818" t="s">
        <v>338</v>
      </c>
      <c r="AA167" s="818" t="s">
        <v>339</v>
      </c>
      <c r="AB167" s="818" t="s">
        <v>340</v>
      </c>
      <c r="AC167" s="818" t="s">
        <v>341</v>
      </c>
      <c r="AD167" s="818" t="s">
        <v>342</v>
      </c>
      <c r="AE167" s="818" t="s">
        <v>343</v>
      </c>
      <c r="AF167" s="818" t="s">
        <v>344</v>
      </c>
      <c r="AG167" s="818" t="s">
        <v>349</v>
      </c>
      <c r="AH167" s="818" t="s">
        <v>350</v>
      </c>
      <c r="AI167" s="818" t="s">
        <v>351</v>
      </c>
      <c r="AJ167" s="818" t="s">
        <v>352</v>
      </c>
      <c r="AK167" s="818" t="s">
        <v>356</v>
      </c>
      <c r="AL167" s="818" t="s">
        <v>357</v>
      </c>
      <c r="AM167" s="818" t="s">
        <v>359</v>
      </c>
      <c r="AN167" s="818" t="s">
        <v>369</v>
      </c>
      <c r="AO167" s="818" t="s">
        <v>372</v>
      </c>
      <c r="AP167" s="818" t="s">
        <v>374</v>
      </c>
      <c r="AQ167" s="818" t="s">
        <v>423</v>
      </c>
      <c r="AR167" s="818" t="s">
        <v>681</v>
      </c>
    </row>
    <row r="168" spans="1:59">
      <c r="E168" s="753"/>
      <c r="F168" s="762" t="s">
        <v>392</v>
      </c>
      <c r="G168" s="763" t="s">
        <v>125</v>
      </c>
      <c r="H168" s="795" t="str">
        <f t="shared" si="40"/>
        <v>n.v</v>
      </c>
      <c r="I168" s="796" t="s">
        <v>496</v>
      </c>
      <c r="Y168" s="820" t="s">
        <v>43</v>
      </c>
      <c r="Z168" s="830" t="s">
        <v>330</v>
      </c>
      <c r="AA168" s="830" t="s">
        <v>331</v>
      </c>
      <c r="AB168" s="830" t="s">
        <v>291</v>
      </c>
      <c r="AC168" s="830" t="s">
        <v>332</v>
      </c>
      <c r="AD168" s="830" t="s">
        <v>296</v>
      </c>
      <c r="AE168" s="830" t="s">
        <v>296</v>
      </c>
      <c r="AF168" s="830" t="s">
        <v>296</v>
      </c>
      <c r="AG168" s="830" t="s">
        <v>333</v>
      </c>
      <c r="AH168" s="830" t="s">
        <v>296</v>
      </c>
      <c r="AI168" s="830" t="s">
        <v>353</v>
      </c>
      <c r="AJ168" s="830" t="s">
        <v>334</v>
      </c>
      <c r="AK168" s="830" t="s">
        <v>358</v>
      </c>
      <c r="AL168" s="830" t="s">
        <v>293</v>
      </c>
      <c r="AM168" s="830" t="s">
        <v>360</v>
      </c>
      <c r="AN168" s="830" t="s">
        <v>783</v>
      </c>
      <c r="AO168" s="830" t="str">
        <f>IF(spannung=230,"","Meldeleuchte Drehfeld")</f>
        <v>Meldeleuchte Drehfeld</v>
      </c>
      <c r="AP168" s="836">
        <v>100</v>
      </c>
      <c r="AQ168" s="836">
        <v>80</v>
      </c>
      <c r="AR168" s="753">
        <v>0.85</v>
      </c>
    </row>
    <row r="169" spans="1:59">
      <c r="E169" s="753"/>
      <c r="F169" s="789" t="s">
        <v>392</v>
      </c>
      <c r="G169" s="790">
        <v>290</v>
      </c>
      <c r="H169" s="791">
        <f t="shared" si="40"/>
        <v>57.693666870812059</v>
      </c>
      <c r="I169" s="792">
        <v>700</v>
      </c>
      <c r="Y169" s="820" t="s">
        <v>44</v>
      </c>
      <c r="Z169" s="830" t="s">
        <v>345</v>
      </c>
      <c r="AA169" s="830" t="s">
        <v>331</v>
      </c>
      <c r="AB169" s="830" t="s">
        <v>291</v>
      </c>
      <c r="AC169" s="830" t="s">
        <v>296</v>
      </c>
      <c r="AD169" s="830" t="s">
        <v>296</v>
      </c>
      <c r="AE169" s="830" t="s">
        <v>296</v>
      </c>
      <c r="AF169" s="830" t="s">
        <v>296</v>
      </c>
      <c r="AG169" s="830" t="s">
        <v>292</v>
      </c>
      <c r="AH169" s="830" t="s">
        <v>296</v>
      </c>
      <c r="AI169" s="830" t="s">
        <v>353</v>
      </c>
      <c r="AJ169" s="830" t="s">
        <v>354</v>
      </c>
      <c r="AK169" s="830" t="s">
        <v>358</v>
      </c>
      <c r="AL169" s="830" t="s">
        <v>293</v>
      </c>
      <c r="AM169" s="830" t="s">
        <v>361</v>
      </c>
      <c r="AN169" s="830" t="s">
        <v>783</v>
      </c>
      <c r="AO169" s="830" t="str">
        <f>IF(spannung=230,"","Meldeleuchte Drehfeld")</f>
        <v>Meldeleuchte Drehfeld</v>
      </c>
      <c r="AP169" s="836">
        <v>100</v>
      </c>
      <c r="AQ169" s="836">
        <v>80</v>
      </c>
      <c r="AR169" s="753">
        <v>0.85</v>
      </c>
    </row>
    <row r="170" spans="1:59">
      <c r="F170" s="762" t="s">
        <v>393</v>
      </c>
      <c r="G170" s="763" t="s">
        <v>125</v>
      </c>
      <c r="H170" s="793" t="str">
        <f t="shared" si="40"/>
        <v>n.v</v>
      </c>
      <c r="I170" s="765">
        <v>180</v>
      </c>
      <c r="Y170" s="820" t="s">
        <v>45</v>
      </c>
      <c r="Z170" s="830" t="s">
        <v>345</v>
      </c>
      <c r="AA170" s="830" t="s">
        <v>331</v>
      </c>
      <c r="AB170" s="830" t="s">
        <v>291</v>
      </c>
      <c r="AC170" s="830" t="s">
        <v>296</v>
      </c>
      <c r="AD170" s="830" t="s">
        <v>296</v>
      </c>
      <c r="AE170" s="830" t="s">
        <v>296</v>
      </c>
      <c r="AF170" s="830" t="s">
        <v>296</v>
      </c>
      <c r="AG170" s="830" t="s">
        <v>292</v>
      </c>
      <c r="AH170" s="830" t="s">
        <v>296</v>
      </c>
      <c r="AI170" s="830" t="s">
        <v>353</v>
      </c>
      <c r="AJ170" s="830" t="s">
        <v>354</v>
      </c>
      <c r="AK170" s="830" t="s">
        <v>358</v>
      </c>
      <c r="AL170" s="830" t="s">
        <v>293</v>
      </c>
      <c r="AM170" s="830" t="s">
        <v>361</v>
      </c>
      <c r="AN170" s="830" t="s">
        <v>783</v>
      </c>
      <c r="AO170" s="830" t="str">
        <f>IF(spannung=230,"","Meldeleuchte Drehfeld")</f>
        <v>Meldeleuchte Drehfeld</v>
      </c>
      <c r="AP170" s="836">
        <v>100</v>
      </c>
      <c r="AQ170" s="836">
        <v>80</v>
      </c>
      <c r="AR170" s="753">
        <v>0.85</v>
      </c>
    </row>
    <row r="171" spans="1:59">
      <c r="F171" s="762" t="s">
        <v>393</v>
      </c>
      <c r="G171" s="763" t="s">
        <v>125</v>
      </c>
      <c r="H171" s="795" t="str">
        <f t="shared" si="40"/>
        <v>n.v</v>
      </c>
      <c r="I171" s="796">
        <v>250</v>
      </c>
      <c r="Y171" s="820" t="str">
        <f>IF($R159="n",,"UZ1.150")</f>
        <v>UZ1.150</v>
      </c>
      <c r="Z171" s="830" t="s">
        <v>346</v>
      </c>
      <c r="AA171" s="830" t="s">
        <v>347</v>
      </c>
      <c r="AB171" s="830" t="s">
        <v>331</v>
      </c>
      <c r="AC171" s="830" t="s">
        <v>291</v>
      </c>
      <c r="AD171" s="830" t="s">
        <v>296</v>
      </c>
      <c r="AE171" s="830" t="s">
        <v>296</v>
      </c>
      <c r="AF171" s="830" t="s">
        <v>296</v>
      </c>
      <c r="AG171" s="830" t="s">
        <v>292</v>
      </c>
      <c r="AH171" s="830" t="s">
        <v>296</v>
      </c>
      <c r="AI171" s="830" t="s">
        <v>353</v>
      </c>
      <c r="AJ171" s="830" t="s">
        <v>354</v>
      </c>
      <c r="AK171" s="830" t="s">
        <v>366</v>
      </c>
      <c r="AL171" s="830" t="s">
        <v>293</v>
      </c>
      <c r="AM171" s="830" t="s">
        <v>361</v>
      </c>
      <c r="AN171" s="830" t="s">
        <v>784</v>
      </c>
      <c r="AO171" s="830" t="s">
        <v>373</v>
      </c>
      <c r="AP171" s="836">
        <v>100</v>
      </c>
      <c r="AQ171" s="836">
        <v>80</v>
      </c>
      <c r="AR171" s="753">
        <v>0.85</v>
      </c>
    </row>
    <row r="172" spans="1:59">
      <c r="F172" s="762" t="s">
        <v>393</v>
      </c>
      <c r="G172" s="763" t="s">
        <v>125</v>
      </c>
      <c r="H172" s="795" t="str">
        <f t="shared" si="40"/>
        <v>n.v</v>
      </c>
      <c r="I172" s="796">
        <v>320</v>
      </c>
      <c r="Y172" s="820" t="str">
        <f>IF($R160="n",,"UZ2.150")</f>
        <v>UZ2.150</v>
      </c>
      <c r="Z172" s="830" t="s">
        <v>346</v>
      </c>
      <c r="AA172" s="830" t="s">
        <v>347</v>
      </c>
      <c r="AB172" s="830" t="s">
        <v>331</v>
      </c>
      <c r="AC172" s="830" t="s">
        <v>291</v>
      </c>
      <c r="AD172" s="830" t="s">
        <v>296</v>
      </c>
      <c r="AE172" s="830" t="s">
        <v>296</v>
      </c>
      <c r="AF172" s="830" t="s">
        <v>296</v>
      </c>
      <c r="AG172" s="830" t="s">
        <v>292</v>
      </c>
      <c r="AH172" s="830" t="s">
        <v>296</v>
      </c>
      <c r="AI172" s="830" t="s">
        <v>353</v>
      </c>
      <c r="AJ172" s="830" t="s">
        <v>354</v>
      </c>
      <c r="AK172" s="830" t="s">
        <v>366</v>
      </c>
      <c r="AL172" s="830" t="s">
        <v>293</v>
      </c>
      <c r="AM172" s="830" t="s">
        <v>361</v>
      </c>
      <c r="AN172" s="830" t="s">
        <v>784</v>
      </c>
      <c r="AO172" s="830" t="s">
        <v>373</v>
      </c>
      <c r="AP172" s="836">
        <v>100</v>
      </c>
      <c r="AQ172" s="836">
        <v>80</v>
      </c>
      <c r="AR172" s="753">
        <v>0.85</v>
      </c>
    </row>
    <row r="173" spans="1:59">
      <c r="F173" s="762" t="s">
        <v>393</v>
      </c>
      <c r="G173" s="763" t="s">
        <v>125</v>
      </c>
      <c r="H173" s="795" t="str">
        <f t="shared" si="40"/>
        <v>n.v</v>
      </c>
      <c r="I173" s="796" t="s">
        <v>496</v>
      </c>
      <c r="U173" s="838"/>
      <c r="Y173" s="820" t="str">
        <f>IF($R161="n",,"U3.100")</f>
        <v>U3.100</v>
      </c>
      <c r="Z173" s="830" t="s">
        <v>346</v>
      </c>
      <c r="AA173" s="830" t="s">
        <v>331</v>
      </c>
      <c r="AB173" s="830" t="s">
        <v>291</v>
      </c>
      <c r="AC173" s="830" t="s">
        <v>296</v>
      </c>
      <c r="AD173" s="830" t="s">
        <v>296</v>
      </c>
      <c r="AE173" s="830" t="s">
        <v>296</v>
      </c>
      <c r="AF173" s="830" t="s">
        <v>296</v>
      </c>
      <c r="AG173" s="830" t="s">
        <v>292</v>
      </c>
      <c r="AH173" s="830" t="s">
        <v>296</v>
      </c>
      <c r="AI173" s="830" t="s">
        <v>353</v>
      </c>
      <c r="AJ173" s="830" t="s">
        <v>355</v>
      </c>
      <c r="AK173" s="830" t="s">
        <v>358</v>
      </c>
      <c r="AL173" s="830" t="s">
        <v>293</v>
      </c>
      <c r="AM173" s="830" t="s">
        <v>361</v>
      </c>
      <c r="AN173" s="830" t="s">
        <v>785</v>
      </c>
      <c r="AO173" s="830" t="str">
        <f>IF(spannung=230,"","Meldeleuchte Drehfeld")</f>
        <v>Meldeleuchte Drehfeld</v>
      </c>
      <c r="AP173" s="836">
        <v>100</v>
      </c>
      <c r="AQ173" s="836">
        <v>80</v>
      </c>
      <c r="AR173" s="753">
        <v>0.85</v>
      </c>
    </row>
    <row r="174" spans="1:59">
      <c r="F174" s="789" t="s">
        <v>393</v>
      </c>
      <c r="G174" s="790">
        <v>290</v>
      </c>
      <c r="H174" s="791">
        <f t="shared" si="40"/>
        <v>57.693666870812059</v>
      </c>
      <c r="I174" s="792">
        <v>700</v>
      </c>
      <c r="Y174" s="820" t="str">
        <f>IF($R162="n",,"U4.100")</f>
        <v>U4.100</v>
      </c>
      <c r="Z174" s="830" t="s">
        <v>346</v>
      </c>
      <c r="AA174" s="830" t="s">
        <v>331</v>
      </c>
      <c r="AB174" s="830" t="s">
        <v>291</v>
      </c>
      <c r="AC174" s="830" t="s">
        <v>296</v>
      </c>
      <c r="AD174" s="830" t="s">
        <v>296</v>
      </c>
      <c r="AE174" s="830" t="s">
        <v>296</v>
      </c>
      <c r="AF174" s="830" t="s">
        <v>296</v>
      </c>
      <c r="AG174" s="830" t="s">
        <v>292</v>
      </c>
      <c r="AH174" s="830" t="s">
        <v>296</v>
      </c>
      <c r="AI174" s="830" t="s">
        <v>353</v>
      </c>
      <c r="AJ174" s="830" t="s">
        <v>355</v>
      </c>
      <c r="AK174" s="830" t="s">
        <v>358</v>
      </c>
      <c r="AL174" s="830" t="s">
        <v>293</v>
      </c>
      <c r="AM174" s="830" t="s">
        <v>361</v>
      </c>
      <c r="AN174" s="830" t="s">
        <v>785</v>
      </c>
      <c r="AO174" s="830" t="str">
        <f>IF(spannung=230,"","Meldeleuchte Drehfeld")</f>
        <v>Meldeleuchte Drehfeld</v>
      </c>
      <c r="AP174" s="836">
        <v>100</v>
      </c>
      <c r="AQ174" s="836">
        <v>80</v>
      </c>
      <c r="AR174" s="753">
        <v>0.85</v>
      </c>
    </row>
    <row r="175" spans="1:59">
      <c r="F175" s="762" t="s">
        <v>391</v>
      </c>
      <c r="G175" s="763" t="s">
        <v>125</v>
      </c>
      <c r="H175" s="793" t="str">
        <f t="shared" si="40"/>
        <v>n.v</v>
      </c>
      <c r="I175" s="765">
        <v>180</v>
      </c>
      <c r="Y175" s="820" t="str">
        <f>IF($R163="n",,"U5.100")</f>
        <v>U5.100</v>
      </c>
      <c r="Z175" s="830" t="s">
        <v>346</v>
      </c>
      <c r="AA175" s="830" t="s">
        <v>331</v>
      </c>
      <c r="AB175" s="830" t="s">
        <v>291</v>
      </c>
      <c r="AC175" s="830" t="s">
        <v>296</v>
      </c>
      <c r="AD175" s="830" t="s">
        <v>296</v>
      </c>
      <c r="AE175" s="830" t="s">
        <v>296</v>
      </c>
      <c r="AF175" s="830" t="s">
        <v>296</v>
      </c>
      <c r="AG175" s="830" t="s">
        <v>292</v>
      </c>
      <c r="AH175" s="830" t="s">
        <v>296</v>
      </c>
      <c r="AI175" s="830" t="s">
        <v>353</v>
      </c>
      <c r="AJ175" s="830" t="s">
        <v>355</v>
      </c>
      <c r="AK175" s="830" t="s">
        <v>358</v>
      </c>
      <c r="AL175" s="830" t="s">
        <v>293</v>
      </c>
      <c r="AM175" s="830" t="s">
        <v>361</v>
      </c>
      <c r="AN175" s="830" t="s">
        <v>785</v>
      </c>
      <c r="AO175" s="830" t="str">
        <f>IF(spannung=230,"","Meldeleuchte Drehfeld")</f>
        <v>Meldeleuchte Drehfeld</v>
      </c>
      <c r="AP175" s="836">
        <v>100</v>
      </c>
      <c r="AQ175" s="836">
        <v>80</v>
      </c>
      <c r="AR175" s="753">
        <v>0.85</v>
      </c>
    </row>
    <row r="176" spans="1:59">
      <c r="F176" s="762" t="s">
        <v>391</v>
      </c>
      <c r="G176" s="763" t="s">
        <v>125</v>
      </c>
      <c r="H176" s="795" t="str">
        <f t="shared" si="40"/>
        <v>n.v</v>
      </c>
      <c r="I176" s="796">
        <v>250</v>
      </c>
      <c r="Y176" s="820" t="str">
        <f>IF($R164="n",,"UZ3.150")</f>
        <v>UZ3.150</v>
      </c>
      <c r="Z176" s="830" t="s">
        <v>306</v>
      </c>
      <c r="AA176" s="830" t="s">
        <v>292</v>
      </c>
      <c r="AB176" s="830" t="s">
        <v>331</v>
      </c>
      <c r="AC176" s="830" t="s">
        <v>291</v>
      </c>
      <c r="AD176" s="553" t="s">
        <v>296</v>
      </c>
      <c r="AE176" s="553" t="s">
        <v>296</v>
      </c>
      <c r="AF176" s="553" t="s">
        <v>296</v>
      </c>
      <c r="AG176" s="830" t="s">
        <v>292</v>
      </c>
      <c r="AH176" s="830" t="s">
        <v>296</v>
      </c>
      <c r="AI176" s="830" t="s">
        <v>353</v>
      </c>
      <c r="AJ176" s="830" t="s">
        <v>355</v>
      </c>
      <c r="AK176" s="830" t="s">
        <v>366</v>
      </c>
      <c r="AL176" s="830" t="s">
        <v>293</v>
      </c>
      <c r="AM176" s="830" t="s">
        <v>361</v>
      </c>
      <c r="AN176" s="830" t="s">
        <v>784</v>
      </c>
      <c r="AO176" s="830" t="s">
        <v>373</v>
      </c>
      <c r="AP176" s="836">
        <v>100</v>
      </c>
      <c r="AQ176" s="836">
        <v>80</v>
      </c>
      <c r="AR176" s="753">
        <v>0.85</v>
      </c>
    </row>
    <row r="177" spans="6:44">
      <c r="F177" s="762" t="s">
        <v>391</v>
      </c>
      <c r="G177" s="763" t="s">
        <v>125</v>
      </c>
      <c r="H177" s="795" t="str">
        <f t="shared" si="40"/>
        <v>n.v</v>
      </c>
      <c r="I177" s="796">
        <v>320</v>
      </c>
      <c r="Y177" s="820" t="str">
        <f>IF($R165="n",,"UZ4.150")</f>
        <v>UZ4.150</v>
      </c>
      <c r="Z177" s="830" t="s">
        <v>306</v>
      </c>
      <c r="AA177" s="830" t="s">
        <v>292</v>
      </c>
      <c r="AB177" s="830" t="s">
        <v>331</v>
      </c>
      <c r="AC177" s="830" t="s">
        <v>291</v>
      </c>
      <c r="AD177" s="553" t="s">
        <v>296</v>
      </c>
      <c r="AE177" s="553" t="s">
        <v>296</v>
      </c>
      <c r="AF177" s="553" t="s">
        <v>296</v>
      </c>
      <c r="AG177" s="830" t="s">
        <v>292</v>
      </c>
      <c r="AH177" s="830" t="s">
        <v>296</v>
      </c>
      <c r="AI177" s="830" t="s">
        <v>353</v>
      </c>
      <c r="AJ177" s="830" t="s">
        <v>355</v>
      </c>
      <c r="AK177" s="830" t="s">
        <v>366</v>
      </c>
      <c r="AL177" s="830" t="s">
        <v>293</v>
      </c>
      <c r="AM177" s="830" t="s">
        <v>361</v>
      </c>
      <c r="AN177" s="830" t="s">
        <v>784</v>
      </c>
      <c r="AO177" s="830" t="s">
        <v>373</v>
      </c>
      <c r="AP177" s="836">
        <v>100</v>
      </c>
      <c r="AQ177" s="836">
        <v>80</v>
      </c>
      <c r="AR177" s="753">
        <v>0.85</v>
      </c>
    </row>
    <row r="178" spans="6:44">
      <c r="F178" s="762" t="s">
        <v>391</v>
      </c>
      <c r="G178" s="763" t="s">
        <v>125</v>
      </c>
      <c r="H178" s="795" t="str">
        <f t="shared" si="40"/>
        <v>n.v</v>
      </c>
      <c r="I178" s="796" t="s">
        <v>496</v>
      </c>
      <c r="Y178" s="820" t="str">
        <f>IF($R166="n",,"UZ5.150")</f>
        <v>UZ5.150</v>
      </c>
      <c r="Z178" s="830" t="s">
        <v>306</v>
      </c>
      <c r="AA178" s="830" t="s">
        <v>292</v>
      </c>
      <c r="AB178" s="830" t="s">
        <v>331</v>
      </c>
      <c r="AC178" s="830" t="s">
        <v>291</v>
      </c>
      <c r="AD178" s="553" t="s">
        <v>296</v>
      </c>
      <c r="AE178" s="553" t="s">
        <v>296</v>
      </c>
      <c r="AF178" s="553" t="s">
        <v>296</v>
      </c>
      <c r="AG178" s="830" t="s">
        <v>292</v>
      </c>
      <c r="AH178" s="830" t="s">
        <v>296</v>
      </c>
      <c r="AI178" s="830" t="s">
        <v>353</v>
      </c>
      <c r="AJ178" s="830" t="s">
        <v>355</v>
      </c>
      <c r="AK178" s="830" t="s">
        <v>366</v>
      </c>
      <c r="AL178" s="830" t="s">
        <v>293</v>
      </c>
      <c r="AM178" s="830" t="s">
        <v>361</v>
      </c>
      <c r="AN178" s="830" t="s">
        <v>784</v>
      </c>
      <c r="AO178" s="830" t="s">
        <v>373</v>
      </c>
      <c r="AP178" s="836">
        <v>100</v>
      </c>
      <c r="AQ178" s="836">
        <v>80</v>
      </c>
      <c r="AR178" s="753">
        <v>0.85</v>
      </c>
    </row>
    <row r="179" spans="6:44">
      <c r="F179" s="789" t="s">
        <v>391</v>
      </c>
      <c r="G179" s="790">
        <v>290</v>
      </c>
      <c r="H179" s="791">
        <f t="shared" si="40"/>
        <v>57.693666870812059</v>
      </c>
      <c r="I179" s="792">
        <v>700</v>
      </c>
      <c r="Y179" s="820" t="str">
        <f>IF($R167="n",,"U3.300")</f>
        <v>U3.300</v>
      </c>
      <c r="Z179" s="830" t="s">
        <v>302</v>
      </c>
      <c r="AA179" s="830" t="s">
        <v>292</v>
      </c>
      <c r="AB179" s="830" t="s">
        <v>331</v>
      </c>
      <c r="AC179" s="830" t="s">
        <v>348</v>
      </c>
      <c r="AD179" s="830" t="s">
        <v>303</v>
      </c>
      <c r="AE179" s="830" t="s">
        <v>304</v>
      </c>
      <c r="AF179" s="830" t="s">
        <v>305</v>
      </c>
      <c r="AG179" s="830" t="s">
        <v>292</v>
      </c>
      <c r="AH179" s="830" t="s">
        <v>296</v>
      </c>
      <c r="AI179" s="830" t="s">
        <v>296</v>
      </c>
      <c r="AJ179" s="830" t="s">
        <v>296</v>
      </c>
      <c r="AK179" s="830" t="s">
        <v>358</v>
      </c>
      <c r="AL179" s="830" t="s">
        <v>293</v>
      </c>
      <c r="AM179" s="830" t="s">
        <v>361</v>
      </c>
      <c r="AN179" s="830" t="s">
        <v>371</v>
      </c>
      <c r="AO179" s="830" t="str">
        <f>IF(spannung=230,"","Meldeleuchte Drehfeld")</f>
        <v>Meldeleuchte Drehfeld</v>
      </c>
      <c r="AP179" s="836">
        <v>150</v>
      </c>
      <c r="AQ179" s="836">
        <v>80</v>
      </c>
      <c r="AR179" s="753">
        <v>0.85</v>
      </c>
    </row>
    <row r="180" spans="6:44">
      <c r="F180" s="762" t="s">
        <v>394</v>
      </c>
      <c r="G180" s="763" t="s">
        <v>125</v>
      </c>
      <c r="H180" s="793" t="str">
        <f t="shared" si="40"/>
        <v>n.v</v>
      </c>
      <c r="I180" s="765">
        <v>180</v>
      </c>
      <c r="Y180" s="820" t="str">
        <f>IF($R168="n",,"U4.300")</f>
        <v>U4.300</v>
      </c>
      <c r="Z180" s="830" t="s">
        <v>302</v>
      </c>
      <c r="AA180" s="830" t="s">
        <v>292</v>
      </c>
      <c r="AB180" s="830" t="s">
        <v>331</v>
      </c>
      <c r="AC180" s="830" t="s">
        <v>348</v>
      </c>
      <c r="AD180" s="830" t="s">
        <v>303</v>
      </c>
      <c r="AE180" s="830" t="s">
        <v>304</v>
      </c>
      <c r="AF180" s="830" t="s">
        <v>305</v>
      </c>
      <c r="AG180" s="830" t="s">
        <v>292</v>
      </c>
      <c r="AH180" s="830" t="s">
        <v>296</v>
      </c>
      <c r="AI180" s="830" t="s">
        <v>296</v>
      </c>
      <c r="AJ180" s="830" t="s">
        <v>296</v>
      </c>
      <c r="AK180" s="830" t="s">
        <v>358</v>
      </c>
      <c r="AL180" s="830" t="s">
        <v>293</v>
      </c>
      <c r="AM180" s="830" t="s">
        <v>361</v>
      </c>
      <c r="AN180" s="830" t="s">
        <v>371</v>
      </c>
      <c r="AO180" s="830" t="str">
        <f>IF(spannung=230,"","Meldeleuchte Drehfeld")</f>
        <v>Meldeleuchte Drehfeld</v>
      </c>
      <c r="AP180" s="836">
        <v>150</v>
      </c>
      <c r="AQ180" s="836">
        <v>80</v>
      </c>
      <c r="AR180" s="753">
        <v>0.85</v>
      </c>
    </row>
    <row r="181" spans="6:44">
      <c r="F181" s="762" t="s">
        <v>394</v>
      </c>
      <c r="G181" s="763" t="s">
        <v>125</v>
      </c>
      <c r="H181" s="795" t="str">
        <f t="shared" si="40"/>
        <v>n.v</v>
      </c>
      <c r="I181" s="796">
        <v>250</v>
      </c>
      <c r="Y181" s="820" t="str">
        <f>IF($R169="n",,"U5.300")</f>
        <v>U5.300</v>
      </c>
      <c r="Z181" s="830" t="s">
        <v>302</v>
      </c>
      <c r="AA181" s="830" t="s">
        <v>292</v>
      </c>
      <c r="AB181" s="830" t="s">
        <v>331</v>
      </c>
      <c r="AC181" s="830" t="s">
        <v>348</v>
      </c>
      <c r="AD181" s="830" t="s">
        <v>303</v>
      </c>
      <c r="AE181" s="830" t="s">
        <v>304</v>
      </c>
      <c r="AF181" s="830" t="s">
        <v>305</v>
      </c>
      <c r="AG181" s="830" t="s">
        <v>292</v>
      </c>
      <c r="AH181" s="830" t="s">
        <v>296</v>
      </c>
      <c r="AI181" s="830" t="s">
        <v>296</v>
      </c>
      <c r="AJ181" s="830" t="s">
        <v>296</v>
      </c>
      <c r="AK181" s="830" t="s">
        <v>358</v>
      </c>
      <c r="AL181" s="830" t="s">
        <v>293</v>
      </c>
      <c r="AM181" s="830" t="s">
        <v>361</v>
      </c>
      <c r="AN181" s="830" t="s">
        <v>371</v>
      </c>
      <c r="AO181" s="830" t="str">
        <f>IF(spannung=230,"","Meldeleuchte Drehfeld")</f>
        <v>Meldeleuchte Drehfeld</v>
      </c>
      <c r="AP181" s="836">
        <v>150</v>
      </c>
      <c r="AQ181" s="836">
        <v>80</v>
      </c>
      <c r="AR181" s="753">
        <v>0.85</v>
      </c>
    </row>
    <row r="182" spans="6:44">
      <c r="F182" s="762" t="s">
        <v>394</v>
      </c>
      <c r="G182" s="763" t="s">
        <v>125</v>
      </c>
      <c r="H182" s="795" t="str">
        <f t="shared" si="40"/>
        <v>n.v</v>
      </c>
      <c r="I182" s="796">
        <v>320</v>
      </c>
      <c r="Y182" s="820" t="str">
        <f>IF($R170="n",,"UZ3.300")</f>
        <v>UZ3.300</v>
      </c>
      <c r="Z182" s="830" t="s">
        <v>302</v>
      </c>
      <c r="AA182" s="830" t="s">
        <v>292</v>
      </c>
      <c r="AB182" s="830" t="s">
        <v>331</v>
      </c>
      <c r="AC182" s="830" t="s">
        <v>348</v>
      </c>
      <c r="AD182" s="830" t="s">
        <v>303</v>
      </c>
      <c r="AE182" s="830" t="s">
        <v>304</v>
      </c>
      <c r="AF182" s="830" t="s">
        <v>305</v>
      </c>
      <c r="AG182" s="830" t="s">
        <v>292</v>
      </c>
      <c r="AH182" s="830" t="s">
        <v>296</v>
      </c>
      <c r="AI182" s="830" t="s">
        <v>296</v>
      </c>
      <c r="AJ182" s="830" t="s">
        <v>296</v>
      </c>
      <c r="AK182" s="830" t="s">
        <v>366</v>
      </c>
      <c r="AL182" s="830" t="s">
        <v>293</v>
      </c>
      <c r="AM182" s="830" t="s">
        <v>361</v>
      </c>
      <c r="AN182" s="830" t="s">
        <v>370</v>
      </c>
      <c r="AO182" s="830" t="s">
        <v>373</v>
      </c>
      <c r="AP182" s="836">
        <v>150</v>
      </c>
      <c r="AQ182" s="836">
        <v>80</v>
      </c>
      <c r="AR182" s="753">
        <v>0.85</v>
      </c>
    </row>
    <row r="183" spans="6:44">
      <c r="F183" s="762" t="s">
        <v>394</v>
      </c>
      <c r="G183" s="763" t="s">
        <v>125</v>
      </c>
      <c r="H183" s="795" t="str">
        <f t="shared" si="40"/>
        <v>n.v</v>
      </c>
      <c r="I183" s="796" t="s">
        <v>496</v>
      </c>
      <c r="Y183" s="820" t="str">
        <f>IF($R171="n",,"UZ4.300")</f>
        <v>UZ4.300</v>
      </c>
      <c r="Z183" s="830" t="s">
        <v>302</v>
      </c>
      <c r="AA183" s="830" t="s">
        <v>292</v>
      </c>
      <c r="AB183" s="830" t="s">
        <v>331</v>
      </c>
      <c r="AC183" s="830" t="s">
        <v>348</v>
      </c>
      <c r="AD183" s="830" t="s">
        <v>303</v>
      </c>
      <c r="AE183" s="830" t="s">
        <v>304</v>
      </c>
      <c r="AF183" s="830" t="s">
        <v>305</v>
      </c>
      <c r="AG183" s="830" t="s">
        <v>292</v>
      </c>
      <c r="AH183" s="830" t="s">
        <v>296</v>
      </c>
      <c r="AI183" s="830" t="s">
        <v>296</v>
      </c>
      <c r="AJ183" s="830" t="s">
        <v>296</v>
      </c>
      <c r="AK183" s="830" t="s">
        <v>366</v>
      </c>
      <c r="AL183" s="830" t="s">
        <v>293</v>
      </c>
      <c r="AM183" s="830" t="s">
        <v>361</v>
      </c>
      <c r="AN183" s="830" t="s">
        <v>370</v>
      </c>
      <c r="AO183" s="830" t="s">
        <v>373</v>
      </c>
      <c r="AP183" s="836">
        <v>150</v>
      </c>
      <c r="AQ183" s="836">
        <v>80</v>
      </c>
      <c r="AR183" s="753">
        <v>0.85</v>
      </c>
    </row>
    <row r="184" spans="6:44">
      <c r="F184" s="789" t="s">
        <v>394</v>
      </c>
      <c r="G184" s="790">
        <v>580</v>
      </c>
      <c r="H184" s="791">
        <f t="shared" si="40"/>
        <v>115.38733374162412</v>
      </c>
      <c r="I184" s="792">
        <v>700</v>
      </c>
      <c r="Y184" s="820" t="str">
        <f>IF($R172="n",,"UZ5.300")</f>
        <v>UZ5.300</v>
      </c>
      <c r="Z184" s="830" t="s">
        <v>302</v>
      </c>
      <c r="AA184" s="830" t="s">
        <v>292</v>
      </c>
      <c r="AB184" s="830" t="s">
        <v>331</v>
      </c>
      <c r="AC184" s="830" t="s">
        <v>348</v>
      </c>
      <c r="AD184" s="830" t="s">
        <v>303</v>
      </c>
      <c r="AE184" s="830" t="s">
        <v>304</v>
      </c>
      <c r="AF184" s="830" t="s">
        <v>305</v>
      </c>
      <c r="AG184" s="830" t="s">
        <v>292</v>
      </c>
      <c r="AH184" s="830" t="s">
        <v>296</v>
      </c>
      <c r="AI184" s="830" t="s">
        <v>296</v>
      </c>
      <c r="AJ184" s="830" t="s">
        <v>296</v>
      </c>
      <c r="AK184" s="830" t="s">
        <v>366</v>
      </c>
      <c r="AL184" s="830" t="s">
        <v>293</v>
      </c>
      <c r="AM184" s="830" t="s">
        <v>361</v>
      </c>
      <c r="AN184" s="830" t="s">
        <v>370</v>
      </c>
      <c r="AO184" s="830" t="s">
        <v>373</v>
      </c>
      <c r="AP184" s="836">
        <v>150</v>
      </c>
      <c r="AQ184" s="836">
        <v>80</v>
      </c>
      <c r="AR184" s="753">
        <v>0.85</v>
      </c>
    </row>
    <row r="185" spans="6:44">
      <c r="F185" s="762" t="s">
        <v>395</v>
      </c>
      <c r="G185" s="763" t="s">
        <v>125</v>
      </c>
      <c r="H185" s="793" t="str">
        <f t="shared" si="40"/>
        <v>n.v</v>
      </c>
      <c r="I185" s="765">
        <v>180</v>
      </c>
      <c r="Y185" s="820" t="str">
        <f>IF($R173="n",,"UZ3.450")</f>
        <v>UZ3.450</v>
      </c>
      <c r="Z185" s="830" t="s">
        <v>409</v>
      </c>
      <c r="AA185" s="830" t="s">
        <v>412</v>
      </c>
      <c r="AB185" s="830" t="s">
        <v>331</v>
      </c>
      <c r="AC185" s="830" t="s">
        <v>348</v>
      </c>
      <c r="AD185" s="830" t="s">
        <v>410</v>
      </c>
      <c r="AE185" s="850"/>
      <c r="AF185" s="850"/>
      <c r="AG185" s="850"/>
      <c r="AH185" s="850"/>
      <c r="AI185" s="850"/>
      <c r="AJ185" s="850"/>
      <c r="AK185" s="830" t="s">
        <v>366</v>
      </c>
      <c r="AL185" s="830" t="s">
        <v>293</v>
      </c>
      <c r="AM185" s="830" t="s">
        <v>361</v>
      </c>
      <c r="AN185" s="830" t="s">
        <v>370</v>
      </c>
      <c r="AO185" s="830" t="s">
        <v>373</v>
      </c>
      <c r="AP185" s="836">
        <v>150</v>
      </c>
      <c r="AQ185" s="836">
        <v>80</v>
      </c>
      <c r="AR185" s="753">
        <v>0.85</v>
      </c>
    </row>
    <row r="186" spans="6:44">
      <c r="F186" s="762" t="s">
        <v>395</v>
      </c>
      <c r="G186" s="763" t="s">
        <v>125</v>
      </c>
      <c r="H186" s="795" t="str">
        <f t="shared" si="40"/>
        <v>n.v</v>
      </c>
      <c r="I186" s="796">
        <v>250</v>
      </c>
      <c r="Y186" s="820" t="str">
        <f>IF($R174="n",,"UZ4.450")</f>
        <v>UZ4.450</v>
      </c>
      <c r="Z186" s="830" t="s">
        <v>409</v>
      </c>
      <c r="AA186" s="830" t="s">
        <v>412</v>
      </c>
      <c r="AB186" s="830" t="s">
        <v>331</v>
      </c>
      <c r="AC186" s="830" t="s">
        <v>348</v>
      </c>
      <c r="AD186" s="830" t="s">
        <v>410</v>
      </c>
      <c r="AE186" s="850"/>
      <c r="AF186" s="850"/>
      <c r="AG186" s="850"/>
      <c r="AH186" s="850"/>
      <c r="AI186" s="850"/>
      <c r="AJ186" s="850"/>
      <c r="AK186" s="830" t="s">
        <v>366</v>
      </c>
      <c r="AL186" s="830" t="s">
        <v>293</v>
      </c>
      <c r="AM186" s="830" t="s">
        <v>361</v>
      </c>
      <c r="AN186" s="830" t="s">
        <v>370</v>
      </c>
      <c r="AO186" s="830" t="s">
        <v>373</v>
      </c>
      <c r="AP186" s="836">
        <v>150</v>
      </c>
      <c r="AQ186" s="836">
        <v>80</v>
      </c>
      <c r="AR186" s="753">
        <v>0.85</v>
      </c>
    </row>
    <row r="187" spans="6:44">
      <c r="F187" s="762" t="s">
        <v>395</v>
      </c>
      <c r="G187" s="763" t="s">
        <v>125</v>
      </c>
      <c r="H187" s="795" t="str">
        <f t="shared" si="40"/>
        <v>n.v</v>
      </c>
      <c r="I187" s="796">
        <v>320</v>
      </c>
      <c r="Y187" s="820" t="str">
        <f>IF($R175="n",,"UZ5.450")</f>
        <v>UZ5.450</v>
      </c>
      <c r="Z187" s="830" t="s">
        <v>409</v>
      </c>
      <c r="AA187" s="830" t="s">
        <v>412</v>
      </c>
      <c r="AB187" s="830" t="s">
        <v>331</v>
      </c>
      <c r="AC187" s="830" t="s">
        <v>348</v>
      </c>
      <c r="AD187" s="830" t="s">
        <v>410</v>
      </c>
      <c r="AE187" s="850"/>
      <c r="AF187" s="850"/>
      <c r="AG187" s="850"/>
      <c r="AH187" s="850"/>
      <c r="AI187" s="850"/>
      <c r="AJ187" s="850"/>
      <c r="AK187" s="830" t="s">
        <v>366</v>
      </c>
      <c r="AL187" s="830" t="s">
        <v>293</v>
      </c>
      <c r="AM187" s="830" t="s">
        <v>361</v>
      </c>
      <c r="AN187" s="830" t="s">
        <v>370</v>
      </c>
      <c r="AO187" s="830" t="s">
        <v>373</v>
      </c>
      <c r="AP187" s="836">
        <v>150</v>
      </c>
      <c r="AQ187" s="836">
        <v>80</v>
      </c>
      <c r="AR187" s="753">
        <v>0.85</v>
      </c>
    </row>
    <row r="188" spans="6:44">
      <c r="F188" s="762" t="s">
        <v>395</v>
      </c>
      <c r="G188" s="763" t="s">
        <v>125</v>
      </c>
      <c r="H188" s="795" t="str">
        <f t="shared" si="40"/>
        <v>n.v</v>
      </c>
      <c r="I188" s="796" t="s">
        <v>496</v>
      </c>
      <c r="Y188" s="820" t="str">
        <f>IF($R176="n",,"UZ3.900")</f>
        <v>UZ3.900</v>
      </c>
      <c r="Z188" s="830" t="s">
        <v>409</v>
      </c>
      <c r="AA188" s="830" t="s">
        <v>412</v>
      </c>
      <c r="AB188" s="830" t="s">
        <v>331</v>
      </c>
      <c r="AC188" s="830" t="s">
        <v>348</v>
      </c>
      <c r="AD188" s="830" t="s">
        <v>410</v>
      </c>
      <c r="AE188" s="850"/>
      <c r="AF188" s="850"/>
      <c r="AG188" s="850"/>
      <c r="AH188" s="850"/>
      <c r="AI188" s="850"/>
      <c r="AJ188" s="850"/>
      <c r="AK188" s="830" t="s">
        <v>422</v>
      </c>
      <c r="AL188" s="830" t="s">
        <v>293</v>
      </c>
      <c r="AM188" s="830" t="s">
        <v>361</v>
      </c>
      <c r="AN188" s="830" t="s">
        <v>370</v>
      </c>
      <c r="AO188" s="830" t="s">
        <v>373</v>
      </c>
      <c r="AP188" s="836">
        <v>150</v>
      </c>
      <c r="AQ188" s="836">
        <v>100</v>
      </c>
      <c r="AR188" s="753">
        <v>0.85</v>
      </c>
    </row>
    <row r="189" spans="6:44">
      <c r="F189" s="789" t="s">
        <v>395</v>
      </c>
      <c r="G189" s="790">
        <v>580</v>
      </c>
      <c r="H189" s="791">
        <f t="shared" si="40"/>
        <v>115.38733374162412</v>
      </c>
      <c r="I189" s="792">
        <v>700</v>
      </c>
      <c r="Y189" s="820" t="str">
        <f>IF($R177="n",,"UZ4.900")</f>
        <v>UZ4.900</v>
      </c>
      <c r="Z189" s="830" t="s">
        <v>409</v>
      </c>
      <c r="AA189" s="830" t="s">
        <v>412</v>
      </c>
      <c r="AB189" s="830" t="s">
        <v>331</v>
      </c>
      <c r="AC189" s="830" t="s">
        <v>348</v>
      </c>
      <c r="AD189" s="830" t="s">
        <v>410</v>
      </c>
      <c r="AE189" s="850"/>
      <c r="AF189" s="850"/>
      <c r="AG189" s="850"/>
      <c r="AH189" s="850"/>
      <c r="AI189" s="850"/>
      <c r="AJ189" s="850"/>
      <c r="AK189" s="830" t="s">
        <v>422</v>
      </c>
      <c r="AL189" s="830" t="s">
        <v>293</v>
      </c>
      <c r="AM189" s="830" t="s">
        <v>361</v>
      </c>
      <c r="AN189" s="830" t="s">
        <v>370</v>
      </c>
      <c r="AO189" s="830" t="s">
        <v>373</v>
      </c>
      <c r="AP189" s="836">
        <v>150</v>
      </c>
      <c r="AQ189" s="836">
        <v>100</v>
      </c>
      <c r="AR189" s="753">
        <v>0.85</v>
      </c>
    </row>
    <row r="190" spans="6:44">
      <c r="F190" s="762" t="s">
        <v>396</v>
      </c>
      <c r="G190" s="763" t="s">
        <v>125</v>
      </c>
      <c r="H190" s="793" t="str">
        <f t="shared" si="40"/>
        <v>n.v</v>
      </c>
      <c r="I190" s="765">
        <v>180</v>
      </c>
      <c r="Y190" s="820" t="str">
        <f>IF($R178="n",,"UZ5.900")</f>
        <v>UZ5.900</v>
      </c>
      <c r="Z190" s="830" t="s">
        <v>409</v>
      </c>
      <c r="AA190" s="830" t="s">
        <v>412</v>
      </c>
      <c r="AB190" s="830" t="s">
        <v>331</v>
      </c>
      <c r="AC190" s="830" t="s">
        <v>348</v>
      </c>
      <c r="AD190" s="830" t="s">
        <v>410</v>
      </c>
      <c r="AE190" s="850"/>
      <c r="AF190" s="850"/>
      <c r="AG190" s="850"/>
      <c r="AH190" s="850"/>
      <c r="AI190" s="850"/>
      <c r="AJ190" s="850"/>
      <c r="AK190" s="830" t="s">
        <v>422</v>
      </c>
      <c r="AL190" s="830" t="s">
        <v>293</v>
      </c>
      <c r="AM190" s="830" t="s">
        <v>361</v>
      </c>
      <c r="AN190" s="830" t="s">
        <v>370</v>
      </c>
      <c r="AO190" s="830" t="s">
        <v>373</v>
      </c>
      <c r="AP190" s="836">
        <v>150</v>
      </c>
      <c r="AQ190" s="836">
        <v>100</v>
      </c>
      <c r="AR190" s="753">
        <v>0.85</v>
      </c>
    </row>
    <row r="191" spans="6:44">
      <c r="F191" s="762" t="s">
        <v>396</v>
      </c>
      <c r="G191" s="763" t="s">
        <v>125</v>
      </c>
      <c r="H191" s="795" t="str">
        <f t="shared" si="40"/>
        <v>n.v</v>
      </c>
      <c r="I191" s="796">
        <v>250</v>
      </c>
      <c r="Y191" s="820" t="s">
        <v>743</v>
      </c>
      <c r="Z191" s="830" t="s">
        <v>330</v>
      </c>
      <c r="AA191" s="830" t="s">
        <v>331</v>
      </c>
      <c r="AB191" s="830" t="s">
        <v>291</v>
      </c>
      <c r="AC191" s="830"/>
      <c r="AD191" s="850"/>
      <c r="AE191" s="850"/>
      <c r="AF191" s="850"/>
      <c r="AG191" s="830" t="s">
        <v>306</v>
      </c>
      <c r="AH191" s="830"/>
      <c r="AI191" s="830" t="s">
        <v>353</v>
      </c>
      <c r="AJ191" s="830" t="s">
        <v>334</v>
      </c>
      <c r="AK191" s="850" t="s">
        <v>780</v>
      </c>
      <c r="AM191" s="830" t="s">
        <v>360</v>
      </c>
      <c r="AN191" s="830" t="s">
        <v>784</v>
      </c>
      <c r="AO191" s="830" t="str">
        <f>IF(spannung=230,"","Meldeleuchte Drehfeld")</f>
        <v>Meldeleuchte Drehfeld</v>
      </c>
      <c r="AP191" s="851">
        <v>100</v>
      </c>
      <c r="AQ191" s="851">
        <v>32</v>
      </c>
      <c r="AR191" s="753">
        <v>0.85</v>
      </c>
    </row>
    <row r="192" spans="6:44">
      <c r="F192" s="762" t="s">
        <v>396</v>
      </c>
      <c r="G192" s="763" t="s">
        <v>125</v>
      </c>
      <c r="H192" s="795" t="str">
        <f t="shared" si="40"/>
        <v>n.v</v>
      </c>
      <c r="I192" s="796">
        <v>320</v>
      </c>
      <c r="Y192" s="820" t="s">
        <v>744</v>
      </c>
      <c r="Z192" s="830" t="s">
        <v>345</v>
      </c>
      <c r="AA192" s="830" t="s">
        <v>331</v>
      </c>
      <c r="AB192" s="830" t="s">
        <v>291</v>
      </c>
      <c r="AC192" s="850"/>
      <c r="AD192" s="850"/>
      <c r="AE192" s="850"/>
      <c r="AF192" s="850"/>
      <c r="AG192" s="830" t="s">
        <v>292</v>
      </c>
      <c r="AH192" s="850"/>
      <c r="AI192" s="830" t="s">
        <v>353</v>
      </c>
      <c r="AJ192" s="830" t="s">
        <v>354</v>
      </c>
      <c r="AK192" s="850" t="s">
        <v>770</v>
      </c>
      <c r="AL192" s="850"/>
      <c r="AM192" s="830" t="s">
        <v>361</v>
      </c>
      <c r="AN192" s="850"/>
      <c r="AO192" s="830" t="str">
        <f>IF(spannung=230,"","Meldeleuchte Drehfeld")</f>
        <v>Meldeleuchte Drehfeld</v>
      </c>
      <c r="AP192" s="851">
        <v>100</v>
      </c>
      <c r="AQ192" s="851">
        <v>50</v>
      </c>
      <c r="AR192" s="753">
        <v>0.85</v>
      </c>
    </row>
    <row r="193" spans="2:44">
      <c r="F193" s="762" t="s">
        <v>396</v>
      </c>
      <c r="G193" s="763" t="s">
        <v>125</v>
      </c>
      <c r="H193" s="795" t="str">
        <f t="shared" si="40"/>
        <v>n.v</v>
      </c>
      <c r="I193" s="796" t="s">
        <v>496</v>
      </c>
      <c r="Y193" s="820" t="s">
        <v>745</v>
      </c>
      <c r="Z193" s="830" t="s">
        <v>345</v>
      </c>
      <c r="AA193" s="830" t="s">
        <v>331</v>
      </c>
      <c r="AB193" s="830" t="s">
        <v>291</v>
      </c>
      <c r="AC193" s="850"/>
      <c r="AD193" s="850"/>
      <c r="AE193" s="850"/>
      <c r="AF193" s="850"/>
      <c r="AG193" s="830" t="s">
        <v>292</v>
      </c>
      <c r="AH193" s="850"/>
      <c r="AI193" s="830" t="s">
        <v>353</v>
      </c>
      <c r="AJ193" s="830" t="s">
        <v>354</v>
      </c>
      <c r="AK193" s="850" t="s">
        <v>770</v>
      </c>
      <c r="AL193" s="850"/>
      <c r="AM193" s="830" t="s">
        <v>361</v>
      </c>
      <c r="AN193" s="850"/>
      <c r="AO193" s="830" t="str">
        <f>IF(spannung=230,"","Meldeleuchte Drehfeld")</f>
        <v>Meldeleuchte Drehfeld</v>
      </c>
      <c r="AP193" s="851">
        <v>100</v>
      </c>
      <c r="AQ193" s="851">
        <v>50</v>
      </c>
      <c r="AR193" s="753">
        <v>0.85</v>
      </c>
    </row>
    <row r="194" spans="2:44">
      <c r="F194" s="789" t="s">
        <v>396</v>
      </c>
      <c r="G194" s="790">
        <v>580</v>
      </c>
      <c r="H194" s="791">
        <f t="shared" si="40"/>
        <v>115.38733374162412</v>
      </c>
      <c r="I194" s="792">
        <v>700</v>
      </c>
      <c r="Y194" s="820" t="s">
        <v>746</v>
      </c>
      <c r="Z194" s="830" t="s">
        <v>781</v>
      </c>
      <c r="AA194" s="830" t="s">
        <v>292</v>
      </c>
      <c r="AB194" s="830" t="s">
        <v>331</v>
      </c>
      <c r="AC194" s="830" t="s">
        <v>291</v>
      </c>
      <c r="AD194" s="850"/>
      <c r="AE194" s="850"/>
      <c r="AF194" s="850"/>
      <c r="AG194" s="830" t="s">
        <v>292</v>
      </c>
      <c r="AH194" s="850"/>
      <c r="AI194" s="830" t="s">
        <v>353</v>
      </c>
      <c r="AJ194" s="830" t="s">
        <v>355</v>
      </c>
      <c r="AK194" s="850" t="s">
        <v>782</v>
      </c>
      <c r="AL194" s="850"/>
      <c r="AM194" s="830" t="s">
        <v>361</v>
      </c>
      <c r="AN194" s="850"/>
      <c r="AO194" s="830" t="s">
        <v>373</v>
      </c>
      <c r="AP194" s="851">
        <v>100</v>
      </c>
      <c r="AQ194" s="851">
        <v>50</v>
      </c>
      <c r="AR194" s="753">
        <v>0.85</v>
      </c>
    </row>
    <row r="195" spans="2:44" ht="12.75" thickBot="1">
      <c r="F195" s="762" t="s">
        <v>743</v>
      </c>
      <c r="G195" s="763">
        <v>10</v>
      </c>
      <c r="H195" s="793">
        <f t="shared" ref="H195:H204" si="42">IF(G195="nv","n.v",(4*G195/(PI()*(dn/100)^2)/10))</f>
        <v>1.9894367886486914</v>
      </c>
      <c r="I195" s="765">
        <v>180</v>
      </c>
      <c r="Y195" s="820" t="s">
        <v>747</v>
      </c>
      <c r="Z195" s="830" t="s">
        <v>306</v>
      </c>
      <c r="AA195" s="830" t="s">
        <v>292</v>
      </c>
      <c r="AB195" s="830" t="s">
        <v>331</v>
      </c>
      <c r="AC195" s="830" t="s">
        <v>291</v>
      </c>
      <c r="AD195" s="850"/>
      <c r="AE195" s="850"/>
      <c r="AF195" s="850"/>
      <c r="AG195" s="830" t="s">
        <v>292</v>
      </c>
      <c r="AH195" s="850"/>
      <c r="AI195" s="830" t="s">
        <v>353</v>
      </c>
      <c r="AJ195" s="830" t="s">
        <v>355</v>
      </c>
      <c r="AK195" s="850" t="s">
        <v>782</v>
      </c>
      <c r="AL195" s="850"/>
      <c r="AM195" s="830" t="s">
        <v>361</v>
      </c>
      <c r="AN195" s="850"/>
      <c r="AO195" s="830" t="s">
        <v>373</v>
      </c>
      <c r="AP195" s="851">
        <v>100</v>
      </c>
      <c r="AQ195" s="851">
        <v>50</v>
      </c>
      <c r="AR195" s="753">
        <v>0.85</v>
      </c>
    </row>
    <row r="196" spans="2:44" ht="12.75" thickBot="1">
      <c r="F196" s="762" t="s">
        <v>743</v>
      </c>
      <c r="G196" s="763" t="s">
        <v>125</v>
      </c>
      <c r="H196" s="795" t="str">
        <f t="shared" si="42"/>
        <v>n.v</v>
      </c>
      <c r="I196" s="796">
        <v>250</v>
      </c>
      <c r="Z196" s="848" t="e">
        <f>VLOOKUP(anlage_ermittelt,anlage_geometrie_anschl,2,FALSE)</f>
        <v>#N/A</v>
      </c>
      <c r="AA196" s="848" t="e">
        <f>VLOOKUP(anlage_ermittelt,anlage_geometrie_anschl,3,FALSE)</f>
        <v>#N/A</v>
      </c>
      <c r="AB196" s="848" t="e">
        <f>VLOOKUP(anlage_ermittelt,anlage_geometrie_anschl,4,FALSE)</f>
        <v>#N/A</v>
      </c>
      <c r="AC196" s="848" t="e">
        <f>VLOOKUP(anlage_ermittelt,anlage_geometrie_anschl,5,FALSE)</f>
        <v>#N/A</v>
      </c>
      <c r="AD196" s="848" t="e">
        <f>VLOOKUP(anlage_ermittelt,anlage_geometrie_anschl,6,FALSE)</f>
        <v>#N/A</v>
      </c>
      <c r="AE196" s="848" t="e">
        <f>VLOOKUP(anlage_ermittelt,anlage_geometrie_anschl,7,FALSE)</f>
        <v>#N/A</v>
      </c>
      <c r="AF196" s="848" t="e">
        <f>VLOOKUP(anlage_ermittelt,anlage_geometrie_anschl,8,FALSE)</f>
        <v>#N/A</v>
      </c>
      <c r="AG196" s="848" t="e">
        <f>VLOOKUP(anlage_ermittelt,anlage_geometrie_anschl,9,FALSE)</f>
        <v>#N/A</v>
      </c>
      <c r="AH196" s="848" t="e">
        <f>VLOOKUP(anlage_ermittelt,anlage_geometrie_anschl,10,FALSE)</f>
        <v>#N/A</v>
      </c>
      <c r="AI196" s="848" t="e">
        <f>VLOOKUP(anlage_ermittelt,anlage_geometrie_anschl,11,FALSE)</f>
        <v>#N/A</v>
      </c>
      <c r="AJ196" s="848" t="e">
        <f>VLOOKUP(anlage_ermittelt,anlage_geometrie_anschl,12,FALSE)</f>
        <v>#N/A</v>
      </c>
      <c r="AK196" s="848" t="e">
        <f>VLOOKUP(anlage_ermittelt,anlage_geometrie_anschl,13,FALSE)</f>
        <v>#N/A</v>
      </c>
      <c r="AL196" s="848" t="e">
        <f>VLOOKUP(anlage_ermittelt,anlage_geometrie_anschl,14,FALSE)</f>
        <v>#N/A</v>
      </c>
      <c r="AM196" s="848" t="e">
        <f>VLOOKUP(anlage_ermittelt,anlage_geometrie_anschl,15,FALSE)</f>
        <v>#N/A</v>
      </c>
      <c r="AN196" s="848" t="e">
        <f>VLOOKUP(anlage_ermittelt,anlage_geometrie_anschl,16,FALSE)</f>
        <v>#N/A</v>
      </c>
      <c r="AO196" s="848" t="e">
        <f>VLOOKUP(anlage_ermittelt,anlage_geometrie_anschl,17,FALSE)</f>
        <v>#N/A</v>
      </c>
      <c r="AP196" s="852" t="e">
        <f>VLOOKUP(anlage_ermittelt,anlage_geometrie_anschl,18,FALSE)</f>
        <v>#N/A</v>
      </c>
      <c r="AQ196" s="852" t="e">
        <f>VLOOKUP(anlage_ermittelt,anlage_geometrie_anschl,19,FALSE)</f>
        <v>#N/A</v>
      </c>
      <c r="AR196" s="846" t="e">
        <f>VLOOKUP(anlage_ermittelt,anlage_geometrie_anschl,20,FALSE)</f>
        <v>#N/A</v>
      </c>
    </row>
    <row r="197" spans="2:44">
      <c r="F197" s="762" t="s">
        <v>743</v>
      </c>
      <c r="G197" s="763" t="s">
        <v>125</v>
      </c>
      <c r="H197" s="795" t="str">
        <f t="shared" si="42"/>
        <v>n.v</v>
      </c>
      <c r="I197" s="796">
        <v>320</v>
      </c>
    </row>
    <row r="198" spans="2:44">
      <c r="F198" s="762" t="s">
        <v>743</v>
      </c>
      <c r="G198" s="763">
        <v>17</v>
      </c>
      <c r="H198" s="795">
        <f t="shared" si="42"/>
        <v>3.3820425407027757</v>
      </c>
      <c r="I198" s="796" t="s">
        <v>496</v>
      </c>
    </row>
    <row r="199" spans="2:44">
      <c r="F199" s="789" t="s">
        <v>743</v>
      </c>
      <c r="G199" s="790" t="s">
        <v>125</v>
      </c>
      <c r="H199" s="791" t="str">
        <f t="shared" si="42"/>
        <v>n.v</v>
      </c>
      <c r="I199" s="792">
        <v>700</v>
      </c>
    </row>
    <row r="200" spans="2:44">
      <c r="B200" s="400" t="s">
        <v>1</v>
      </c>
      <c r="C200" s="400" t="s">
        <v>187</v>
      </c>
      <c r="F200" s="762" t="s">
        <v>744</v>
      </c>
      <c r="G200" s="763">
        <v>33</v>
      </c>
      <c r="H200" s="793">
        <f t="shared" si="42"/>
        <v>6.5651414025406822</v>
      </c>
      <c r="I200" s="765">
        <v>180</v>
      </c>
    </row>
    <row r="201" spans="2:44">
      <c r="B201" s="853">
        <v>1</v>
      </c>
      <c r="C201" s="754">
        <v>60</v>
      </c>
      <c r="F201" s="762" t="s">
        <v>744</v>
      </c>
      <c r="G201" s="763">
        <v>46</v>
      </c>
      <c r="H201" s="795">
        <f t="shared" si="42"/>
        <v>9.1514092277839811</v>
      </c>
      <c r="I201" s="796">
        <v>250</v>
      </c>
    </row>
    <row r="202" spans="2:44">
      <c r="B202" s="853">
        <v>1</v>
      </c>
      <c r="C202" s="754">
        <v>100</v>
      </c>
      <c r="F202" s="762" t="s">
        <v>744</v>
      </c>
      <c r="G202" s="763" t="s">
        <v>125</v>
      </c>
      <c r="H202" s="795" t="str">
        <f t="shared" si="42"/>
        <v>n.v</v>
      </c>
      <c r="I202" s="796">
        <v>320</v>
      </c>
    </row>
    <row r="203" spans="2:44">
      <c r="B203" s="853">
        <v>1</v>
      </c>
      <c r="C203" s="854">
        <v>150</v>
      </c>
      <c r="F203" s="762" t="s">
        <v>744</v>
      </c>
      <c r="G203" s="763">
        <v>64</v>
      </c>
      <c r="H203" s="795">
        <f t="shared" si="42"/>
        <v>12.732395447351626</v>
      </c>
      <c r="I203" s="796" t="s">
        <v>496</v>
      </c>
    </row>
    <row r="204" spans="2:44">
      <c r="B204" s="853">
        <v>2</v>
      </c>
      <c r="C204" s="754">
        <v>100</v>
      </c>
      <c r="F204" s="789" t="s">
        <v>744</v>
      </c>
      <c r="G204" s="790" t="s">
        <v>125</v>
      </c>
      <c r="H204" s="791" t="str">
        <f t="shared" si="42"/>
        <v>n.v</v>
      </c>
      <c r="I204" s="792">
        <v>700</v>
      </c>
    </row>
    <row r="205" spans="2:44">
      <c r="B205" s="853">
        <v>2</v>
      </c>
      <c r="C205" s="854">
        <v>150</v>
      </c>
      <c r="F205" s="762" t="s">
        <v>745</v>
      </c>
      <c r="G205" s="763">
        <v>33</v>
      </c>
      <c r="H205" s="793">
        <f t="shared" ref="H205:H214" si="43">IF(G205="nv","n.v",(4*G205/(PI()*(dn/100)^2)/10))</f>
        <v>6.5651414025406822</v>
      </c>
      <c r="I205" s="765">
        <v>180</v>
      </c>
    </row>
    <row r="206" spans="2:44">
      <c r="B206" s="853">
        <v>3</v>
      </c>
      <c r="C206" s="754">
        <v>100</v>
      </c>
      <c r="F206" s="762" t="s">
        <v>745</v>
      </c>
      <c r="G206" s="763">
        <v>46</v>
      </c>
      <c r="H206" s="795">
        <f t="shared" si="43"/>
        <v>9.1514092277839811</v>
      </c>
      <c r="I206" s="796">
        <v>250</v>
      </c>
    </row>
    <row r="207" spans="2:44">
      <c r="B207" s="853">
        <v>3</v>
      </c>
      <c r="C207" s="854">
        <v>150</v>
      </c>
      <c r="F207" s="762" t="s">
        <v>745</v>
      </c>
      <c r="G207" s="763" t="s">
        <v>125</v>
      </c>
      <c r="H207" s="795" t="str">
        <f t="shared" si="43"/>
        <v>n.v</v>
      </c>
      <c r="I207" s="796">
        <v>320</v>
      </c>
    </row>
    <row r="208" spans="2:44">
      <c r="B208" s="853">
        <v>3</v>
      </c>
      <c r="C208" s="754">
        <v>300</v>
      </c>
      <c r="F208" s="762" t="s">
        <v>745</v>
      </c>
      <c r="G208" s="763">
        <v>64</v>
      </c>
      <c r="H208" s="795">
        <f t="shared" si="43"/>
        <v>12.732395447351626</v>
      </c>
      <c r="I208" s="796" t="s">
        <v>496</v>
      </c>
    </row>
    <row r="209" spans="2:9">
      <c r="B209" s="853">
        <v>4</v>
      </c>
      <c r="C209" s="754">
        <v>100</v>
      </c>
      <c r="F209" s="789" t="s">
        <v>745</v>
      </c>
      <c r="G209" s="790" t="s">
        <v>125</v>
      </c>
      <c r="H209" s="791" t="str">
        <f t="shared" si="43"/>
        <v>n.v</v>
      </c>
      <c r="I209" s="792">
        <v>700</v>
      </c>
    </row>
    <row r="210" spans="2:9">
      <c r="B210" s="853">
        <v>4</v>
      </c>
      <c r="C210" s="854">
        <v>150</v>
      </c>
      <c r="F210" s="762" t="s">
        <v>746</v>
      </c>
      <c r="G210" s="763" t="s">
        <v>125</v>
      </c>
      <c r="H210" s="793" t="str">
        <f t="shared" si="43"/>
        <v>n.v</v>
      </c>
      <c r="I210" s="765">
        <v>180</v>
      </c>
    </row>
    <row r="211" spans="2:9">
      <c r="B211" s="853">
        <v>4</v>
      </c>
      <c r="C211" s="754">
        <v>300</v>
      </c>
      <c r="F211" s="762" t="s">
        <v>746</v>
      </c>
      <c r="G211" s="763">
        <v>85</v>
      </c>
      <c r="H211" s="795">
        <f t="shared" si="43"/>
        <v>16.910212703513878</v>
      </c>
      <c r="I211" s="796">
        <v>250</v>
      </c>
    </row>
    <row r="212" spans="2:9">
      <c r="B212" s="853">
        <v>5</v>
      </c>
      <c r="C212" s="754">
        <v>100</v>
      </c>
      <c r="F212" s="762" t="s">
        <v>746</v>
      </c>
      <c r="G212" s="763" t="s">
        <v>125</v>
      </c>
      <c r="H212" s="795" t="str">
        <f t="shared" si="43"/>
        <v>n.v</v>
      </c>
      <c r="I212" s="796">
        <v>320</v>
      </c>
    </row>
    <row r="213" spans="2:9">
      <c r="B213" s="853">
        <v>5</v>
      </c>
      <c r="C213" s="854">
        <v>150</v>
      </c>
      <c r="F213" s="762" t="s">
        <v>746</v>
      </c>
      <c r="G213" s="763">
        <v>95</v>
      </c>
      <c r="H213" s="795">
        <f t="shared" si="43"/>
        <v>18.89964949216257</v>
      </c>
      <c r="I213" s="796" t="s">
        <v>496</v>
      </c>
    </row>
    <row r="214" spans="2:9">
      <c r="B214" s="853">
        <v>5</v>
      </c>
      <c r="C214" s="754">
        <v>300</v>
      </c>
      <c r="F214" s="789" t="s">
        <v>746</v>
      </c>
      <c r="G214" s="790" t="s">
        <v>125</v>
      </c>
      <c r="H214" s="791" t="str">
        <f t="shared" si="43"/>
        <v>n.v</v>
      </c>
      <c r="I214" s="792">
        <v>700</v>
      </c>
    </row>
    <row r="215" spans="2:9">
      <c r="B215" s="853" t="s">
        <v>737</v>
      </c>
      <c r="C215" s="754">
        <v>40</v>
      </c>
      <c r="F215" s="762" t="s">
        <v>747</v>
      </c>
      <c r="G215" s="763" t="s">
        <v>125</v>
      </c>
      <c r="H215" s="793" t="str">
        <f>IF(G215="nv","n.v",(4*G215/(PI()*(dn/100)^2)/10))</f>
        <v>n.v</v>
      </c>
      <c r="I215" s="765">
        <v>180</v>
      </c>
    </row>
    <row r="216" spans="2:9">
      <c r="B216" s="853" t="s">
        <v>737</v>
      </c>
      <c r="C216" s="754">
        <v>100</v>
      </c>
      <c r="F216" s="762" t="s">
        <v>747</v>
      </c>
      <c r="G216" s="763">
        <v>85</v>
      </c>
      <c r="H216" s="795">
        <f>IF(G216="nv","n.v",(4*G216/(PI()*(dn/100)^2)/10))</f>
        <v>16.910212703513878</v>
      </c>
      <c r="I216" s="796">
        <v>250</v>
      </c>
    </row>
    <row r="217" spans="2:9">
      <c r="B217" s="853" t="s">
        <v>737</v>
      </c>
      <c r="C217" s="754">
        <v>150</v>
      </c>
      <c r="F217" s="762" t="s">
        <v>747</v>
      </c>
      <c r="G217" s="763" t="s">
        <v>125</v>
      </c>
      <c r="H217" s="795" t="str">
        <f>IF(G217="nv","n.v",(4*G217/(PI()*(dn/100)^2)/10))</f>
        <v>n.v</v>
      </c>
      <c r="I217" s="796">
        <v>320</v>
      </c>
    </row>
    <row r="218" spans="2:9">
      <c r="B218" s="853" t="s">
        <v>738</v>
      </c>
      <c r="C218" s="754">
        <v>100</v>
      </c>
      <c r="F218" s="762" t="s">
        <v>747</v>
      </c>
      <c r="G218" s="763">
        <v>95</v>
      </c>
      <c r="H218" s="795">
        <f>IF(G218="nv","n.v",(4*G218/(PI()*(dn/100)^2)/10))</f>
        <v>18.89964949216257</v>
      </c>
      <c r="I218" s="796" t="s">
        <v>496</v>
      </c>
    </row>
    <row r="219" spans="2:9">
      <c r="B219" s="853" t="s">
        <v>738</v>
      </c>
      <c r="C219" s="754">
        <v>150</v>
      </c>
      <c r="F219" s="789" t="s">
        <v>747</v>
      </c>
      <c r="G219" s="790" t="s">
        <v>125</v>
      </c>
      <c r="H219" s="791" t="str">
        <f>IF(G219="nv","n.v",(4*G219/(PI()*(dn/100)^2)/10))</f>
        <v>n.v</v>
      </c>
      <c r="I219" s="792">
        <v>700</v>
      </c>
    </row>
  </sheetData>
  <sheetProtection algorithmName="SHA-512" hashValue="zTyho+6Y0KeiY1+Pp0e5Y4PIFHYOAoo0POM2nrFfgxYwqPJ7qPSwAVgSMlsfOSDbhed1Kn+aILNWhbWCKdkWIg==" saltValue="57j82NZw7zEZGyUZf42HJw==" spinCount="100000" sheet="1" objects="1" scenarios="1" selectLockedCells="1" selectUnlockedCells="1"/>
  <mergeCells count="4">
    <mergeCell ref="D23:E23"/>
    <mergeCell ref="Z96:AA96"/>
    <mergeCell ref="D50:E50"/>
    <mergeCell ref="F50:G50"/>
  </mergeCells>
  <phoneticPr fontId="30" type="noConversion"/>
  <conditionalFormatting sqref="K97:K114 F165:I194 K130 K116:K120 K122:K125 K132:K164 K127:K128 F97:J164">
    <cfRule type="expression" dxfId="393" priority="6" stopIfTrue="1">
      <formula>$I97="nv"</formula>
    </cfRule>
  </conditionalFormatting>
  <conditionalFormatting sqref="Y4:Y8">
    <cfRule type="expression" dxfId="392" priority="7" stopIfTrue="1">
      <formula>$D$37="U2.100"</formula>
    </cfRule>
  </conditionalFormatting>
  <conditionalFormatting sqref="X4:X8">
    <cfRule type="expression" dxfId="391" priority="8" stopIfTrue="1">
      <formula>$D$37="U1.100"</formula>
    </cfRule>
  </conditionalFormatting>
  <conditionalFormatting sqref="W4:W8">
    <cfRule type="expression" dxfId="390" priority="9" stopIfTrue="1">
      <formula>$D$37="U1.060"</formula>
    </cfRule>
  </conditionalFormatting>
  <conditionalFormatting sqref="Z52 Z48 Z40 Z44">
    <cfRule type="expression" dxfId="389" priority="10" stopIfTrue="1">
      <formula>$D$38=180</formula>
    </cfRule>
  </conditionalFormatting>
  <conditionalFormatting sqref="Z53 Z41 Z45 Z49">
    <cfRule type="expression" dxfId="388" priority="11" stopIfTrue="1">
      <formula>$D$38=250</formula>
    </cfRule>
  </conditionalFormatting>
  <conditionalFormatting sqref="Z54 Z42 Z46 Z50">
    <cfRule type="expression" dxfId="387" priority="12" stopIfTrue="1">
      <formula>$D$38="Vertikal"</formula>
    </cfRule>
  </conditionalFormatting>
  <conditionalFormatting sqref="W1:W3">
    <cfRule type="expression" dxfId="386" priority="13" stopIfTrue="1">
      <formula>$D$37="U1.060 E"</formula>
    </cfRule>
    <cfRule type="expression" dxfId="385" priority="14" stopIfTrue="1">
      <formula>$D$37="U1.060 D"</formula>
    </cfRule>
  </conditionalFormatting>
  <conditionalFormatting sqref="X1:X3">
    <cfRule type="expression" dxfId="384" priority="15" stopIfTrue="1">
      <formula>$D$37="U1.100 E"</formula>
    </cfRule>
    <cfRule type="expression" dxfId="383" priority="16" stopIfTrue="1">
      <formula>$D$37="U1.100 D"</formula>
    </cfRule>
  </conditionalFormatting>
  <conditionalFormatting sqref="Y1:Y3">
    <cfRule type="expression" dxfId="382" priority="17" stopIfTrue="1">
      <formula>$D$37="U2.100 E"</formula>
    </cfRule>
    <cfRule type="expression" dxfId="381" priority="18" stopIfTrue="1">
      <formula>$D$37="U2.100 D"</formula>
    </cfRule>
  </conditionalFormatting>
  <conditionalFormatting sqref="F195:I199">
    <cfRule type="expression" dxfId="380" priority="5" stopIfTrue="1">
      <formula>$I195="nv"</formula>
    </cfRule>
  </conditionalFormatting>
  <conditionalFormatting sqref="F200:I204">
    <cfRule type="expression" dxfId="379" priority="4" stopIfTrue="1">
      <formula>$I200="nv"</formula>
    </cfRule>
  </conditionalFormatting>
  <conditionalFormatting sqref="F205:I209">
    <cfRule type="expression" dxfId="378" priority="3" stopIfTrue="1">
      <formula>$I205="nv"</formula>
    </cfRule>
  </conditionalFormatting>
  <conditionalFormatting sqref="F210:I214">
    <cfRule type="expression" dxfId="377" priority="2" stopIfTrue="1">
      <formula>$I210="nv"</formula>
    </cfRule>
  </conditionalFormatting>
  <conditionalFormatting sqref="F215:I219">
    <cfRule type="expression" dxfId="376" priority="1" stopIfTrue="1">
      <formula>$I215="nv"</formula>
    </cfRule>
  </conditionalFormatting>
  <pageMargins left="0.78740157480314965" right="0.78740157480314965" top="0.98425196850393704" bottom="0.98425196850393704" header="0.51181102362204722" footer="0.51181102362204722"/>
  <pageSetup paperSize="9" orientation="landscape" r:id="rId3"/>
  <headerFooter alignWithMargins="0"/>
  <customProperties>
    <customPr name="EpmWorksheetKeyString_GUID" r:id="rId4"/>
  </customProperties>
  <drawing r:id="rId5"/>
  <legacy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"/>
  <sheetViews>
    <sheetView showGridLines="0" showRowColHeaders="0" showOutlineSymbols="0" workbookViewId="0">
      <selection activeCell="A2" sqref="A2"/>
    </sheetView>
  </sheetViews>
  <sheetFormatPr baseColWidth="10" defaultRowHeight="12"/>
  <cols>
    <col min="1" max="2" width="11.42578125" style="391"/>
    <col min="3" max="3" width="105.5703125" style="391" bestFit="1" customWidth="1"/>
    <col min="4" max="16384" width="11.42578125" style="391"/>
  </cols>
  <sheetData>
    <row r="1" spans="1:5">
      <c r="A1" s="391" t="s">
        <v>895</v>
      </c>
    </row>
    <row r="3" spans="1:5">
      <c r="B3" s="391" t="s">
        <v>206</v>
      </c>
      <c r="C3" s="392"/>
    </row>
    <row r="4" spans="1:5">
      <c r="B4" s="393">
        <v>1</v>
      </c>
      <c r="C4" s="394" t="s">
        <v>296</v>
      </c>
    </row>
    <row r="5" spans="1:5">
      <c r="B5" s="393">
        <v>2</v>
      </c>
      <c r="C5" s="394" t="s">
        <v>528</v>
      </c>
      <c r="E5" s="395"/>
    </row>
    <row r="6" spans="1:5">
      <c r="B6" s="393">
        <v>3</v>
      </c>
      <c r="C6" s="394" t="s">
        <v>529</v>
      </c>
      <c r="E6" s="395"/>
    </row>
    <row r="7" spans="1:5">
      <c r="B7" s="393">
        <v>4</v>
      </c>
      <c r="C7" s="394" t="s">
        <v>582</v>
      </c>
    </row>
    <row r="8" spans="1:5">
      <c r="B8" s="393">
        <v>5</v>
      </c>
      <c r="C8" s="394" t="s">
        <v>530</v>
      </c>
    </row>
    <row r="9" spans="1:5">
      <c r="B9" s="393" t="s">
        <v>217</v>
      </c>
      <c r="C9" s="394" t="s">
        <v>531</v>
      </c>
    </row>
    <row r="10" spans="1:5">
      <c r="B10" s="393">
        <v>7</v>
      </c>
      <c r="C10" s="394" t="s">
        <v>532</v>
      </c>
    </row>
    <row r="11" spans="1:5">
      <c r="B11" s="393" t="s">
        <v>284</v>
      </c>
      <c r="C11" s="394" t="s">
        <v>533</v>
      </c>
    </row>
    <row r="12" spans="1:5">
      <c r="B12" s="393" t="s">
        <v>285</v>
      </c>
      <c r="C12" s="394" t="s">
        <v>534</v>
      </c>
    </row>
    <row r="13" spans="1:5">
      <c r="B13" s="393" t="s">
        <v>286</v>
      </c>
      <c r="C13" s="394" t="s">
        <v>535</v>
      </c>
    </row>
    <row r="14" spans="1:5">
      <c r="B14" s="393" t="s">
        <v>288</v>
      </c>
      <c r="C14" s="394" t="s">
        <v>536</v>
      </c>
    </row>
    <row r="15" spans="1:5">
      <c r="B15" s="393" t="s">
        <v>289</v>
      </c>
      <c r="C15" s="394" t="s">
        <v>672</v>
      </c>
    </row>
    <row r="16" spans="1:5">
      <c r="B16" s="393" t="s">
        <v>381</v>
      </c>
      <c r="C16" s="394" t="s">
        <v>537</v>
      </c>
    </row>
    <row r="17" spans="2:3">
      <c r="B17" s="393" t="s">
        <v>384</v>
      </c>
      <c r="C17" s="394" t="s">
        <v>583</v>
      </c>
    </row>
    <row r="18" spans="2:3">
      <c r="B18" s="393" t="s">
        <v>385</v>
      </c>
      <c r="C18" s="394" t="e">
        <f>CONCATENATE("Achtung: Spanung 230 V für Laufrad ",laufrad_ist," nicht vorhanden")</f>
        <v>#VALUE!</v>
      </c>
    </row>
    <row r="19" spans="2:3">
      <c r="B19" s="393" t="s">
        <v>387</v>
      </c>
      <c r="C19" s="394" t="s">
        <v>538</v>
      </c>
    </row>
    <row r="20" spans="2:3">
      <c r="B20" s="393" t="s">
        <v>388</v>
      </c>
      <c r="C20" s="394" t="s">
        <v>539</v>
      </c>
    </row>
    <row r="21" spans="2:3">
      <c r="B21" s="393" t="s">
        <v>389</v>
      </c>
      <c r="C21" s="394" t="s">
        <v>540</v>
      </c>
    </row>
    <row r="22" spans="2:3">
      <c r="B22" s="393" t="s">
        <v>390</v>
      </c>
      <c r="C22" s="394" t="str">
        <f>CONCATENATE("Gültig nur bis zum ","28.02.2023"," !!! ")</f>
        <v xml:space="preserve">Gültig nur bis zum 28.02.2023 !!! </v>
      </c>
    </row>
    <row r="23" spans="2:3">
      <c r="B23" s="393" t="s">
        <v>419</v>
      </c>
      <c r="C23" s="394" t="s">
        <v>541</v>
      </c>
    </row>
    <row r="24" spans="2:3">
      <c r="B24" s="393" t="s">
        <v>420</v>
      </c>
      <c r="C24" s="394" t="s">
        <v>673</v>
      </c>
    </row>
    <row r="25" spans="2:3">
      <c r="B25" s="393" t="s">
        <v>421</v>
      </c>
      <c r="C25" s="394" t="s">
        <v>542</v>
      </c>
    </row>
    <row r="26" spans="2:3">
      <c r="B26" s="393" t="s">
        <v>424</v>
      </c>
      <c r="C26" s="394" t="s">
        <v>674</v>
      </c>
    </row>
    <row r="27" spans="2:3">
      <c r="B27" s="393" t="s">
        <v>555</v>
      </c>
      <c r="C27" s="394" t="s">
        <v>556</v>
      </c>
    </row>
    <row r="28" spans="2:3">
      <c r="B28" s="393" t="s">
        <v>557</v>
      </c>
      <c r="C28" s="394" t="s">
        <v>558</v>
      </c>
    </row>
    <row r="29" spans="2:3">
      <c r="B29" s="393" t="s">
        <v>559</v>
      </c>
      <c r="C29" s="394" t="s">
        <v>560</v>
      </c>
    </row>
    <row r="30" spans="2:3">
      <c r="B30" s="393" t="s">
        <v>585</v>
      </c>
      <c r="C30" s="394" t="s">
        <v>584</v>
      </c>
    </row>
    <row r="31" spans="2:3">
      <c r="B31" s="393" t="s">
        <v>586</v>
      </c>
      <c r="C31" s="394" t="s">
        <v>558</v>
      </c>
    </row>
    <row r="32" spans="2:3">
      <c r="B32" s="393" t="s">
        <v>588</v>
      </c>
      <c r="C32" s="394" t="s">
        <v>587</v>
      </c>
    </row>
    <row r="33" spans="2:3">
      <c r="B33" s="393" t="s">
        <v>590</v>
      </c>
      <c r="C33" s="394" t="s">
        <v>589</v>
      </c>
    </row>
    <row r="34" spans="2:3">
      <c r="B34" s="393" t="s">
        <v>592</v>
      </c>
      <c r="C34" s="394" t="s">
        <v>591</v>
      </c>
    </row>
    <row r="35" spans="2:3">
      <c r="B35" s="393" t="s">
        <v>593</v>
      </c>
      <c r="C35" s="394" t="s">
        <v>910</v>
      </c>
    </row>
    <row r="36" spans="2:3">
      <c r="B36" s="393" t="s">
        <v>595</v>
      </c>
      <c r="C36" s="394" t="s">
        <v>594</v>
      </c>
    </row>
    <row r="37" spans="2:3">
      <c r="B37" s="393" t="s">
        <v>596</v>
      </c>
      <c r="C37" s="394" t="s">
        <v>470</v>
      </c>
    </row>
    <row r="38" spans="2:3">
      <c r="B38" s="393" t="s">
        <v>597</v>
      </c>
      <c r="C38" s="394" t="s">
        <v>471</v>
      </c>
    </row>
    <row r="39" spans="2:3">
      <c r="B39" s="393" t="s">
        <v>598</v>
      </c>
      <c r="C39" s="394" t="s">
        <v>472</v>
      </c>
    </row>
    <row r="40" spans="2:3">
      <c r="B40" s="393" t="s">
        <v>599</v>
      </c>
      <c r="C40" s="394" t="s">
        <v>473</v>
      </c>
    </row>
    <row r="41" spans="2:3">
      <c r="B41" s="393" t="s">
        <v>600</v>
      </c>
      <c r="C41" s="394" t="s">
        <v>474</v>
      </c>
    </row>
    <row r="42" spans="2:3">
      <c r="B42" s="393" t="s">
        <v>601</v>
      </c>
      <c r="C42" s="394" t="s">
        <v>475</v>
      </c>
    </row>
    <row r="43" spans="2:3">
      <c r="B43" s="393" t="s">
        <v>602</v>
      </c>
      <c r="C43" s="394" t="s">
        <v>476</v>
      </c>
    </row>
    <row r="44" spans="2:3">
      <c r="B44" s="393" t="s">
        <v>603</v>
      </c>
      <c r="C44" s="394" t="s">
        <v>477</v>
      </c>
    </row>
    <row r="45" spans="2:3">
      <c r="B45" s="393" t="s">
        <v>604</v>
      </c>
      <c r="C45" s="394" t="s">
        <v>478</v>
      </c>
    </row>
    <row r="46" spans="2:3">
      <c r="B46" s="393" t="s">
        <v>605</v>
      </c>
      <c r="C46" s="394" t="s">
        <v>543</v>
      </c>
    </row>
    <row r="47" spans="2:3">
      <c r="B47" s="393" t="s">
        <v>606</v>
      </c>
      <c r="C47" s="394" t="s">
        <v>479</v>
      </c>
    </row>
    <row r="48" spans="2:3">
      <c r="B48" s="393" t="s">
        <v>607</v>
      </c>
      <c r="C48" s="394" t="s">
        <v>480</v>
      </c>
    </row>
    <row r="49" spans="2:3">
      <c r="B49" s="393" t="s">
        <v>608</v>
      </c>
      <c r="C49" s="394" t="s">
        <v>544</v>
      </c>
    </row>
    <row r="50" spans="2:3">
      <c r="B50" s="393" t="s">
        <v>609</v>
      </c>
      <c r="C50" s="394" t="s">
        <v>545</v>
      </c>
    </row>
    <row r="51" spans="2:3">
      <c r="B51" s="393" t="s">
        <v>610</v>
      </c>
      <c r="C51" s="394" t="s">
        <v>546</v>
      </c>
    </row>
    <row r="52" spans="2:3">
      <c r="B52" s="393" t="s">
        <v>611</v>
      </c>
      <c r="C52" s="394" t="s">
        <v>547</v>
      </c>
    </row>
    <row r="53" spans="2:3">
      <c r="B53" s="393" t="s">
        <v>613</v>
      </c>
      <c r="C53" s="394" t="s">
        <v>612</v>
      </c>
    </row>
    <row r="54" spans="2:3">
      <c r="B54" s="393" t="s">
        <v>615</v>
      </c>
      <c r="C54" s="394" t="s">
        <v>614</v>
      </c>
    </row>
    <row r="55" spans="2:3" ht="13.5">
      <c r="B55" s="393" t="s">
        <v>616</v>
      </c>
      <c r="C55" s="394" t="s">
        <v>897</v>
      </c>
    </row>
    <row r="56" spans="2:3" ht="13.5">
      <c r="B56" s="393" t="s">
        <v>617</v>
      </c>
      <c r="C56" s="394" t="s">
        <v>898</v>
      </c>
    </row>
    <row r="57" spans="2:3">
      <c r="B57" s="393" t="s">
        <v>619</v>
      </c>
      <c r="C57" s="394" t="s">
        <v>618</v>
      </c>
    </row>
    <row r="58" spans="2:3">
      <c r="B58" s="393" t="s">
        <v>621</v>
      </c>
      <c r="C58" s="394" t="s">
        <v>620</v>
      </c>
    </row>
    <row r="59" spans="2:3">
      <c r="B59" s="393" t="s">
        <v>623</v>
      </c>
      <c r="C59" s="394" t="s">
        <v>622</v>
      </c>
    </row>
    <row r="60" spans="2:3">
      <c r="B60" s="393" t="s">
        <v>625</v>
      </c>
      <c r="C60" s="394" t="s">
        <v>624</v>
      </c>
    </row>
    <row r="61" spans="2:3">
      <c r="B61" s="393" t="s">
        <v>626</v>
      </c>
      <c r="C61" s="394" t="s">
        <v>447</v>
      </c>
    </row>
    <row r="62" spans="2:3">
      <c r="B62" s="393" t="s">
        <v>627</v>
      </c>
      <c r="C62" s="394" t="s">
        <v>553</v>
      </c>
    </row>
    <row r="63" spans="2:3">
      <c r="B63" s="393" t="s">
        <v>629</v>
      </c>
      <c r="C63" s="394" t="s">
        <v>628</v>
      </c>
    </row>
    <row r="64" spans="2:3">
      <c r="B64" s="393" t="s">
        <v>630</v>
      </c>
      <c r="C64" s="394" t="s">
        <v>220</v>
      </c>
    </row>
    <row r="65" spans="2:3">
      <c r="B65" s="393" t="s">
        <v>631</v>
      </c>
      <c r="C65" s="394" t="s">
        <v>221</v>
      </c>
    </row>
    <row r="66" spans="2:3">
      <c r="B66" s="393" t="s">
        <v>632</v>
      </c>
      <c r="C66" s="394" t="s">
        <v>552</v>
      </c>
    </row>
    <row r="67" spans="2:3">
      <c r="B67" s="393" t="s">
        <v>633</v>
      </c>
      <c r="C67" s="394" t="s">
        <v>900</v>
      </c>
    </row>
    <row r="68" spans="2:3">
      <c r="B68" s="393" t="s">
        <v>635</v>
      </c>
      <c r="C68" s="394" t="s">
        <v>634</v>
      </c>
    </row>
    <row r="69" spans="2:3">
      <c r="B69" s="393" t="s">
        <v>636</v>
      </c>
      <c r="C69" s="394" t="s">
        <v>901</v>
      </c>
    </row>
    <row r="70" spans="2:3">
      <c r="B70" s="393" t="s">
        <v>637</v>
      </c>
      <c r="C70" s="394" t="s">
        <v>551</v>
      </c>
    </row>
    <row r="71" spans="2:3">
      <c r="B71" s="393" t="s">
        <v>638</v>
      </c>
      <c r="C71" s="394" t="s">
        <v>548</v>
      </c>
    </row>
    <row r="72" spans="2:3">
      <c r="B72" s="393" t="s">
        <v>639</v>
      </c>
      <c r="C72" s="394" t="s">
        <v>721</v>
      </c>
    </row>
    <row r="73" spans="2:3">
      <c r="B73" s="393" t="s">
        <v>640</v>
      </c>
      <c r="C73" s="394" t="s">
        <v>549</v>
      </c>
    </row>
    <row r="74" spans="2:3">
      <c r="B74" s="393" t="s">
        <v>641</v>
      </c>
      <c r="C74" s="394" t="s">
        <v>550</v>
      </c>
    </row>
    <row r="75" spans="2:3">
      <c r="B75" s="393" t="s">
        <v>642</v>
      </c>
      <c r="C75" s="394" t="s">
        <v>675</v>
      </c>
    </row>
    <row r="76" spans="2:3">
      <c r="B76" s="393" t="s">
        <v>643</v>
      </c>
      <c r="C76" s="394" t="s">
        <v>676</v>
      </c>
    </row>
    <row r="77" spans="2:3">
      <c r="B77" s="393" t="s">
        <v>644</v>
      </c>
      <c r="C77" s="394" t="s">
        <v>678</v>
      </c>
    </row>
    <row r="78" spans="2:3">
      <c r="B78" s="393" t="s">
        <v>645</v>
      </c>
      <c r="C78" s="394" t="s">
        <v>679</v>
      </c>
    </row>
    <row r="79" spans="2:3">
      <c r="B79" s="393" t="s">
        <v>646</v>
      </c>
      <c r="C79" s="394" t="s">
        <v>688</v>
      </c>
    </row>
    <row r="80" spans="2:3">
      <c r="B80" s="393" t="s">
        <v>647</v>
      </c>
      <c r="C80" s="394" t="s">
        <v>689</v>
      </c>
    </row>
    <row r="81" spans="2:3">
      <c r="B81" s="393" t="s">
        <v>648</v>
      </c>
      <c r="C81" s="394" t="s">
        <v>705</v>
      </c>
    </row>
    <row r="82" spans="2:3">
      <c r="B82" s="393" t="s">
        <v>649</v>
      </c>
      <c r="C82" s="394" t="s">
        <v>687</v>
      </c>
    </row>
    <row r="83" spans="2:3">
      <c r="B83" s="393" t="s">
        <v>650</v>
      </c>
      <c r="C83" s="396" t="s">
        <v>935</v>
      </c>
    </row>
    <row r="84" spans="2:3">
      <c r="B84" s="393" t="s">
        <v>651</v>
      </c>
      <c r="C84" s="397" t="s">
        <v>704</v>
      </c>
    </row>
    <row r="85" spans="2:3">
      <c r="B85" s="393" t="s">
        <v>652</v>
      </c>
      <c r="C85" s="394" t="s">
        <v>719</v>
      </c>
    </row>
    <row r="86" spans="2:3">
      <c r="B86" s="393" t="s">
        <v>653</v>
      </c>
      <c r="C86" s="394" t="s">
        <v>715</v>
      </c>
    </row>
    <row r="87" spans="2:3">
      <c r="B87" s="393" t="s">
        <v>654</v>
      </c>
      <c r="C87" s="394" t="s">
        <v>716</v>
      </c>
    </row>
    <row r="88" spans="2:3">
      <c r="B88" s="393" t="s">
        <v>655</v>
      </c>
      <c r="C88" s="394" t="s">
        <v>717</v>
      </c>
    </row>
    <row r="89" spans="2:3">
      <c r="B89" s="393" t="s">
        <v>656</v>
      </c>
      <c r="C89" s="394" t="s">
        <v>718</v>
      </c>
    </row>
    <row r="90" spans="2:3">
      <c r="B90" s="393" t="s">
        <v>657</v>
      </c>
      <c r="C90" s="394" t="s">
        <v>720</v>
      </c>
    </row>
    <row r="91" spans="2:3">
      <c r="B91" s="393" t="s">
        <v>658</v>
      </c>
      <c r="C91" s="394" t="s">
        <v>634</v>
      </c>
    </row>
    <row r="92" spans="2:3">
      <c r="B92" s="393" t="s">
        <v>659</v>
      </c>
      <c r="C92" s="394" t="s">
        <v>723</v>
      </c>
    </row>
    <row r="93" spans="2:3">
      <c r="B93" s="393" t="s">
        <v>660</v>
      </c>
      <c r="C93" s="394" t="s">
        <v>768</v>
      </c>
    </row>
    <row r="94" spans="2:3">
      <c r="B94" s="393" t="s">
        <v>661</v>
      </c>
      <c r="C94" s="394" t="s">
        <v>772</v>
      </c>
    </row>
    <row r="95" spans="2:3">
      <c r="B95" s="393" t="s">
        <v>662</v>
      </c>
      <c r="C95" s="394" t="s">
        <v>795</v>
      </c>
    </row>
    <row r="96" spans="2:3">
      <c r="B96" s="393" t="s">
        <v>663</v>
      </c>
      <c r="C96" s="394" t="s">
        <v>794</v>
      </c>
    </row>
    <row r="97" spans="2:3">
      <c r="B97" s="393" t="s">
        <v>664</v>
      </c>
      <c r="C97" s="394" t="s">
        <v>912</v>
      </c>
    </row>
    <row r="98" spans="2:3">
      <c r="B98" s="393" t="s">
        <v>665</v>
      </c>
      <c r="C98" s="394" t="s">
        <v>913</v>
      </c>
    </row>
    <row r="99" spans="2:3">
      <c r="B99" s="393" t="s">
        <v>666</v>
      </c>
      <c r="C99" s="394">
        <v>0</v>
      </c>
    </row>
    <row r="100" spans="2:3">
      <c r="B100" s="393" t="s">
        <v>667</v>
      </c>
      <c r="C100" s="394">
        <v>0</v>
      </c>
    </row>
    <row r="101" spans="2:3">
      <c r="B101" s="393" t="s">
        <v>668</v>
      </c>
      <c r="C101" s="394">
        <v>0</v>
      </c>
    </row>
    <row r="102" spans="2:3">
      <c r="B102" s="393" t="s">
        <v>669</v>
      </c>
      <c r="C102" s="394">
        <v>0</v>
      </c>
    </row>
    <row r="103" spans="2:3">
      <c r="B103" s="393" t="s">
        <v>670</v>
      </c>
      <c r="C103" s="394">
        <v>0</v>
      </c>
    </row>
    <row r="104" spans="2:3">
      <c r="B104" s="393" t="s">
        <v>671</v>
      </c>
      <c r="C104" s="394">
        <v>0</v>
      </c>
    </row>
  </sheetData>
  <sheetProtection algorithmName="SHA-512" hashValue="PJ9LYZJxPONS/QEmgmIxCSkMkXecMwhknVIIVaTOjZp197US81QAZCXqN+8natCWngOUmGxlXV7pqnZtGu4zTQ==" saltValue="/gwh2JfsiGUdhx7L4HHsSQ==" spinCount="100000" sheet="1" objects="1" scenarios="1" selectLockedCells="1" selectUnlockedCells="1"/>
  <phoneticPr fontId="3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AF71"/>
  <sheetViews>
    <sheetView showGridLines="0" showRowColHeaders="0" showOutlineSymbols="0" zoomScaleNormal="100" zoomScaleSheetLayoutView="100" workbookViewId="0"/>
  </sheetViews>
  <sheetFormatPr baseColWidth="10" defaultRowHeight="12"/>
  <cols>
    <col min="1" max="1" width="5.42578125" style="418" customWidth="1"/>
    <col min="2" max="2" width="28.42578125" style="418" bestFit="1" customWidth="1"/>
    <col min="3" max="3" width="5" style="418" customWidth="1"/>
    <col min="4" max="4" width="3" style="418" bestFit="1" customWidth="1"/>
    <col min="5" max="5" width="14.42578125" style="509" bestFit="1" customWidth="1"/>
    <col min="6" max="6" width="5.28515625" style="509" bestFit="1" customWidth="1"/>
    <col min="7" max="10" width="3" style="418" customWidth="1"/>
    <col min="11" max="12" width="2.28515625" style="418" customWidth="1"/>
    <col min="13" max="13" width="3.140625" style="453" bestFit="1" customWidth="1"/>
    <col min="14" max="20" width="3.140625" style="418" bestFit="1" customWidth="1"/>
    <col min="21" max="21" width="10.140625" style="418" bestFit="1" customWidth="1"/>
    <col min="22" max="22" width="12.7109375" style="418" bestFit="1" customWidth="1"/>
    <col min="23" max="28" width="11.42578125" style="418"/>
    <col min="29" max="29" width="9.42578125" style="418" bestFit="1" customWidth="1"/>
    <col min="30" max="16384" width="11.42578125" style="418"/>
  </cols>
  <sheetData>
    <row r="1" spans="1:32" s="412" customFormat="1" ht="38.25" customHeight="1">
      <c r="A1" s="408"/>
      <c r="B1" s="408"/>
      <c r="C1" s="409"/>
      <c r="D1" s="409"/>
      <c r="E1" s="410"/>
      <c r="F1" s="410"/>
      <c r="G1" s="408"/>
      <c r="H1" s="411"/>
      <c r="I1" s="408"/>
      <c r="J1" s="408"/>
      <c r="K1" s="408"/>
      <c r="L1" s="408"/>
    </row>
    <row r="2" spans="1:32" s="412" customFormat="1" ht="12.75" customHeight="1">
      <c r="A2" s="413"/>
      <c r="C2" s="414"/>
      <c r="D2" s="414"/>
      <c r="E2" s="414"/>
      <c r="F2" s="414"/>
      <c r="H2" s="415"/>
    </row>
    <row r="3" spans="1:32" s="412" customFormat="1" ht="18.75">
      <c r="A3" s="416" t="s">
        <v>930</v>
      </c>
      <c r="C3" s="414"/>
      <c r="D3" s="414"/>
      <c r="E3" s="414"/>
      <c r="F3" s="414"/>
      <c r="H3" s="415"/>
    </row>
    <row r="4" spans="1:32" s="412" customFormat="1" ht="12.75" customHeight="1">
      <c r="A4" s="413"/>
      <c r="C4" s="414"/>
      <c r="D4" s="414"/>
      <c r="E4" s="414"/>
      <c r="F4" s="414"/>
      <c r="H4" s="415"/>
    </row>
    <row r="5" spans="1:32" ht="13.5" customHeight="1">
      <c r="A5" s="417" t="s">
        <v>223</v>
      </c>
      <c r="C5" s="419"/>
      <c r="D5" s="419"/>
      <c r="E5" s="952"/>
      <c r="F5" s="953"/>
      <c r="G5" s="953"/>
      <c r="H5" s="953"/>
      <c r="I5" s="953"/>
      <c r="J5" s="855"/>
      <c r="K5" s="855"/>
      <c r="L5" s="856"/>
      <c r="M5" s="953"/>
      <c r="N5" s="953"/>
      <c r="O5" s="953"/>
      <c r="P5" s="953"/>
      <c r="Q5" s="953"/>
      <c r="R5" s="953"/>
      <c r="S5" s="953"/>
      <c r="T5" s="954"/>
    </row>
    <row r="6" spans="1:32" ht="69.95" customHeight="1">
      <c r="A6" s="420" t="s">
        <v>224</v>
      </c>
      <c r="B6" s="421" t="s">
        <v>225</v>
      </c>
      <c r="C6" s="422"/>
      <c r="D6" s="423"/>
      <c r="E6" s="424" t="s">
        <v>271</v>
      </c>
      <c r="F6" s="425" t="s">
        <v>272</v>
      </c>
      <c r="G6" s="426" t="s">
        <v>268</v>
      </c>
      <c r="H6" s="426" t="s">
        <v>18</v>
      </c>
      <c r="I6" s="426" t="s">
        <v>254</v>
      </c>
      <c r="J6" s="426" t="s">
        <v>786</v>
      </c>
      <c r="K6" s="426" t="s">
        <v>255</v>
      </c>
      <c r="L6" s="427" t="s">
        <v>256</v>
      </c>
      <c r="M6" s="428" t="s">
        <v>18</v>
      </c>
      <c r="N6" s="426" t="s">
        <v>257</v>
      </c>
      <c r="O6" s="426" t="s">
        <v>254</v>
      </c>
      <c r="P6" s="426" t="s">
        <v>258</v>
      </c>
      <c r="Q6" s="426" t="s">
        <v>280</v>
      </c>
      <c r="R6" s="426" t="s">
        <v>416</v>
      </c>
      <c r="S6" s="426" t="s">
        <v>259</v>
      </c>
      <c r="T6" s="426" t="s">
        <v>260</v>
      </c>
      <c r="U6" s="429" t="s">
        <v>226</v>
      </c>
      <c r="V6" s="430" t="s">
        <v>261</v>
      </c>
      <c r="X6" s="418" t="s">
        <v>788</v>
      </c>
      <c r="Y6" s="418" t="s">
        <v>789</v>
      </c>
      <c r="AA6" s="431" t="s">
        <v>940</v>
      </c>
    </row>
    <row r="7" spans="1:32" s="445" customFormat="1" ht="12.75" customHeight="1">
      <c r="A7" s="432" t="s">
        <v>227</v>
      </c>
      <c r="B7" s="433" t="s">
        <v>228</v>
      </c>
      <c r="C7" s="434"/>
      <c r="D7" s="435" t="s">
        <v>34</v>
      </c>
      <c r="E7" s="436">
        <v>50</v>
      </c>
      <c r="F7" s="437"/>
      <c r="G7" s="438" t="s">
        <v>274</v>
      </c>
      <c r="H7" s="439" t="s">
        <v>275</v>
      </c>
      <c r="I7" s="438" t="s">
        <v>274</v>
      </c>
      <c r="J7" s="438" t="s">
        <v>274</v>
      </c>
      <c r="K7" s="439" t="s">
        <v>275</v>
      </c>
      <c r="L7" s="438" t="s">
        <v>274</v>
      </c>
      <c r="M7" s="439" t="s">
        <v>275</v>
      </c>
      <c r="N7" s="439" t="s">
        <v>275</v>
      </c>
      <c r="O7" s="438" t="s">
        <v>274</v>
      </c>
      <c r="P7" s="439" t="s">
        <v>275</v>
      </c>
      <c r="Q7" s="439" t="s">
        <v>275</v>
      </c>
      <c r="R7" s="439" t="s">
        <v>275</v>
      </c>
      <c r="S7" s="439" t="s">
        <v>275</v>
      </c>
      <c r="T7" s="439" t="s">
        <v>275</v>
      </c>
      <c r="U7" s="440">
        <v>18040370</v>
      </c>
      <c r="V7" s="441">
        <v>32.67</v>
      </c>
      <c r="W7" s="442"/>
      <c r="X7" s="443" t="s">
        <v>268</v>
      </c>
      <c r="Y7" s="444" t="s">
        <v>790</v>
      </c>
      <c r="Z7" s="445">
        <v>18040964</v>
      </c>
      <c r="AA7" s="519">
        <v>29.47</v>
      </c>
      <c r="AB7" s="955"/>
      <c r="AC7" s="400"/>
      <c r="AE7" s="440"/>
      <c r="AF7" s="520"/>
    </row>
    <row r="8" spans="1:32" ht="12.75" customHeight="1">
      <c r="A8" s="447"/>
      <c r="B8" s="448"/>
      <c r="C8" s="448"/>
      <c r="D8" s="435" t="s">
        <v>34</v>
      </c>
      <c r="E8" s="436">
        <v>100</v>
      </c>
      <c r="F8" s="437"/>
      <c r="G8" s="439" t="s">
        <v>275</v>
      </c>
      <c r="H8" s="439" t="s">
        <v>275</v>
      </c>
      <c r="I8" s="439" t="s">
        <v>275</v>
      </c>
      <c r="J8" s="439" t="s">
        <v>275</v>
      </c>
      <c r="K8" s="439" t="s">
        <v>275</v>
      </c>
      <c r="L8" s="439" t="s">
        <v>275</v>
      </c>
      <c r="M8" s="439" t="s">
        <v>275</v>
      </c>
      <c r="N8" s="438" t="s">
        <v>274</v>
      </c>
      <c r="O8" s="439" t="s">
        <v>275</v>
      </c>
      <c r="P8" s="438" t="s">
        <v>274</v>
      </c>
      <c r="Q8" s="439" t="s">
        <v>275</v>
      </c>
      <c r="R8" s="439" t="s">
        <v>275</v>
      </c>
      <c r="S8" s="439" t="s">
        <v>275</v>
      </c>
      <c r="T8" s="439" t="s">
        <v>275</v>
      </c>
      <c r="U8" s="449">
        <v>18040203</v>
      </c>
      <c r="V8" s="441">
        <v>54.38</v>
      </c>
      <c r="W8" s="442"/>
      <c r="X8" s="450" t="s">
        <v>18</v>
      </c>
      <c r="Y8" s="451" t="s">
        <v>790</v>
      </c>
      <c r="Z8" s="445">
        <v>18040964</v>
      </c>
      <c r="AA8" s="519">
        <v>49.13</v>
      </c>
      <c r="AB8" s="955"/>
      <c r="AC8" s="452"/>
      <c r="AE8" s="449"/>
      <c r="AF8" s="520"/>
    </row>
    <row r="9" spans="1:32" ht="12.75" customHeight="1">
      <c r="A9" s="447"/>
      <c r="B9" s="448"/>
      <c r="C9" s="448"/>
      <c r="D9" s="435" t="s">
        <v>34</v>
      </c>
      <c r="E9" s="436">
        <v>150</v>
      </c>
      <c r="F9" s="437"/>
      <c r="G9" s="439" t="s">
        <v>275</v>
      </c>
      <c r="H9" s="438" t="s">
        <v>274</v>
      </c>
      <c r="I9" s="438" t="s">
        <v>274</v>
      </c>
      <c r="J9" s="439" t="s">
        <v>275</v>
      </c>
      <c r="K9" s="438" t="s">
        <v>274</v>
      </c>
      <c r="L9" s="438" t="s">
        <v>274</v>
      </c>
      <c r="M9" s="438" t="s">
        <v>274</v>
      </c>
      <c r="N9" s="439" t="s">
        <v>275</v>
      </c>
      <c r="O9" s="438" t="s">
        <v>274</v>
      </c>
      <c r="P9" s="439" t="s">
        <v>275</v>
      </c>
      <c r="Q9" s="439" t="s">
        <v>275</v>
      </c>
      <c r="R9" s="439" t="s">
        <v>275</v>
      </c>
      <c r="S9" s="439" t="s">
        <v>275</v>
      </c>
      <c r="T9" s="439" t="s">
        <v>275</v>
      </c>
      <c r="U9" s="449">
        <v>18040338</v>
      </c>
      <c r="V9" s="441">
        <v>108.65</v>
      </c>
      <c r="W9" s="442"/>
      <c r="X9" s="450" t="s">
        <v>254</v>
      </c>
      <c r="Y9" s="451" t="s">
        <v>790</v>
      </c>
      <c r="Z9" s="445">
        <v>18040964</v>
      </c>
      <c r="AA9" s="519">
        <v>98.32</v>
      </c>
      <c r="AB9" s="955"/>
      <c r="AC9" s="452"/>
      <c r="AE9" s="449"/>
      <c r="AF9" s="520"/>
    </row>
    <row r="10" spans="1:32" ht="12.75" customHeight="1">
      <c r="A10" s="454"/>
      <c r="B10" s="455"/>
      <c r="C10" s="455"/>
      <c r="D10" s="435" t="s">
        <v>34</v>
      </c>
      <c r="E10" s="436">
        <v>200</v>
      </c>
      <c r="F10" s="437"/>
      <c r="G10" s="439" t="s">
        <v>275</v>
      </c>
      <c r="H10" s="439" t="s">
        <v>275</v>
      </c>
      <c r="I10" s="439" t="s">
        <v>275</v>
      </c>
      <c r="J10" s="439" t="s">
        <v>275</v>
      </c>
      <c r="K10" s="439" t="s">
        <v>275</v>
      </c>
      <c r="L10" s="439" t="s">
        <v>275</v>
      </c>
      <c r="M10" s="439" t="s">
        <v>275</v>
      </c>
      <c r="N10" s="438" t="s">
        <v>274</v>
      </c>
      <c r="O10" s="439" t="s">
        <v>275</v>
      </c>
      <c r="P10" s="438" t="s">
        <v>274</v>
      </c>
      <c r="Q10" s="438" t="s">
        <v>274</v>
      </c>
      <c r="R10" s="438" t="s">
        <v>274</v>
      </c>
      <c r="S10" s="438" t="s">
        <v>274</v>
      </c>
      <c r="T10" s="438" t="s">
        <v>274</v>
      </c>
      <c r="U10" s="456">
        <v>18040972</v>
      </c>
      <c r="V10" s="441">
        <v>173.36</v>
      </c>
      <c r="W10" s="442"/>
      <c r="X10" s="450" t="s">
        <v>786</v>
      </c>
      <c r="Y10" s="451" t="s">
        <v>793</v>
      </c>
      <c r="Z10" s="418">
        <v>18041731</v>
      </c>
      <c r="AA10" s="519">
        <v>156.88</v>
      </c>
      <c r="AB10" s="955"/>
      <c r="AC10" s="457"/>
      <c r="AE10" s="456"/>
      <c r="AF10" s="520"/>
    </row>
    <row r="11" spans="1:32" ht="12.75" customHeight="1">
      <c r="A11" s="432" t="s">
        <v>230</v>
      </c>
      <c r="B11" s="448" t="s">
        <v>228</v>
      </c>
      <c r="C11" s="448"/>
      <c r="D11" s="435" t="s">
        <v>34</v>
      </c>
      <c r="E11" s="436">
        <f>VALUE(CONCATENATE(32,F11))</f>
        <v>3232</v>
      </c>
      <c r="F11" s="437">
        <v>32</v>
      </c>
      <c r="G11" s="439" t="s">
        <v>275</v>
      </c>
      <c r="H11" s="439" t="s">
        <v>275</v>
      </c>
      <c r="I11" s="439" t="s">
        <v>275</v>
      </c>
      <c r="J11" s="439" t="s">
        <v>276</v>
      </c>
      <c r="K11" s="438" t="s">
        <v>276</v>
      </c>
      <c r="L11" s="438" t="s">
        <v>276</v>
      </c>
      <c r="M11" s="439" t="s">
        <v>275</v>
      </c>
      <c r="N11" s="439" t="s">
        <v>275</v>
      </c>
      <c r="O11" s="439" t="s">
        <v>275</v>
      </c>
      <c r="P11" s="439" t="s">
        <v>275</v>
      </c>
      <c r="Q11" s="439" t="s">
        <v>275</v>
      </c>
      <c r="R11" s="439" t="s">
        <v>275</v>
      </c>
      <c r="S11" s="439" t="s">
        <v>275</v>
      </c>
      <c r="T11" s="439" t="s">
        <v>275</v>
      </c>
      <c r="U11" s="440">
        <v>18040329</v>
      </c>
      <c r="V11" s="441">
        <v>30.04</v>
      </c>
      <c r="W11" s="442"/>
      <c r="X11" s="450" t="s">
        <v>255</v>
      </c>
      <c r="Y11" s="451" t="s">
        <v>791</v>
      </c>
      <c r="Z11" s="418">
        <v>18040965</v>
      </c>
      <c r="AA11" s="519">
        <v>27.09</v>
      </c>
      <c r="AB11" s="955"/>
      <c r="AC11" s="458"/>
      <c r="AE11" s="440"/>
      <c r="AF11" s="520"/>
    </row>
    <row r="12" spans="1:32" ht="12.75" customHeight="1">
      <c r="A12" s="432"/>
      <c r="B12" s="448"/>
      <c r="C12" s="448"/>
      <c r="D12" s="435" t="s">
        <v>34</v>
      </c>
      <c r="E12" s="436" t="str">
        <f>CONCATENATE(50,F12)</f>
        <v>5032</v>
      </c>
      <c r="F12" s="437">
        <v>32</v>
      </c>
      <c r="G12" s="439" t="s">
        <v>275</v>
      </c>
      <c r="H12" s="439" t="s">
        <v>275</v>
      </c>
      <c r="I12" s="439" t="s">
        <v>275</v>
      </c>
      <c r="J12" s="439" t="s">
        <v>276</v>
      </c>
      <c r="K12" s="438" t="s">
        <v>276</v>
      </c>
      <c r="L12" s="438" t="s">
        <v>276</v>
      </c>
      <c r="M12" s="439" t="s">
        <v>275</v>
      </c>
      <c r="N12" s="439" t="s">
        <v>275</v>
      </c>
      <c r="O12" s="439" t="s">
        <v>275</v>
      </c>
      <c r="P12" s="439" t="s">
        <v>275</v>
      </c>
      <c r="Q12" s="439" t="s">
        <v>275</v>
      </c>
      <c r="R12" s="439" t="s">
        <v>275</v>
      </c>
      <c r="S12" s="439" t="s">
        <v>275</v>
      </c>
      <c r="T12" s="439" t="s">
        <v>275</v>
      </c>
      <c r="U12" s="440">
        <v>18040329</v>
      </c>
      <c r="V12" s="441">
        <v>30.04</v>
      </c>
      <c r="W12" s="442"/>
      <c r="X12" s="450" t="s">
        <v>256</v>
      </c>
      <c r="Y12" s="451" t="s">
        <v>791</v>
      </c>
      <c r="Z12" s="418">
        <v>18040965</v>
      </c>
      <c r="AA12" s="519">
        <v>27.09</v>
      </c>
      <c r="AB12" s="955"/>
      <c r="AC12" s="458"/>
      <c r="AE12" s="440"/>
      <c r="AF12" s="520"/>
    </row>
    <row r="13" spans="1:32" ht="12.75" customHeight="1">
      <c r="A13" s="432"/>
      <c r="B13" s="448"/>
      <c r="C13" s="459"/>
      <c r="D13" s="435" t="s">
        <v>34</v>
      </c>
      <c r="E13" s="436" t="str">
        <f>CONCATENATE(50,F13)</f>
        <v>5050</v>
      </c>
      <c r="F13" s="437">
        <v>50</v>
      </c>
      <c r="G13" s="439" t="s">
        <v>275</v>
      </c>
      <c r="H13" s="439" t="s">
        <v>275</v>
      </c>
      <c r="I13" s="439" t="s">
        <v>275</v>
      </c>
      <c r="J13" s="439" t="s">
        <v>275</v>
      </c>
      <c r="K13" s="438" t="s">
        <v>276</v>
      </c>
      <c r="L13" s="438" t="s">
        <v>276</v>
      </c>
      <c r="M13" s="439" t="s">
        <v>275</v>
      </c>
      <c r="N13" s="439" t="s">
        <v>275</v>
      </c>
      <c r="O13" s="439" t="s">
        <v>275</v>
      </c>
      <c r="P13" s="439" t="s">
        <v>275</v>
      </c>
      <c r="Q13" s="439" t="s">
        <v>275</v>
      </c>
      <c r="R13" s="439" t="s">
        <v>275</v>
      </c>
      <c r="S13" s="439" t="s">
        <v>275</v>
      </c>
      <c r="T13" s="439" t="s">
        <v>275</v>
      </c>
      <c r="U13" s="449">
        <v>18040330</v>
      </c>
      <c r="V13" s="441">
        <v>62.6</v>
      </c>
      <c r="W13" s="442"/>
      <c r="X13" s="450" t="s">
        <v>18</v>
      </c>
      <c r="Y13" s="451" t="s">
        <v>791</v>
      </c>
      <c r="AA13" s="519">
        <v>56.57</v>
      </c>
      <c r="AB13" s="955"/>
      <c r="AC13" s="452"/>
      <c r="AE13" s="449"/>
      <c r="AF13" s="520"/>
    </row>
    <row r="14" spans="1:32" ht="12.75" customHeight="1">
      <c r="A14" s="432"/>
      <c r="B14" s="448"/>
      <c r="C14" s="459"/>
      <c r="D14" s="435" t="s">
        <v>34</v>
      </c>
      <c r="E14" s="436" t="str">
        <f>CONCATENATE(80,F14)</f>
        <v>8065</v>
      </c>
      <c r="F14" s="437">
        <v>65</v>
      </c>
      <c r="G14" s="438" t="s">
        <v>276</v>
      </c>
      <c r="H14" s="438" t="s">
        <v>276</v>
      </c>
      <c r="I14" s="438" t="s">
        <v>276</v>
      </c>
      <c r="J14" s="439" t="s">
        <v>275</v>
      </c>
      <c r="K14" s="439" t="s">
        <v>275</v>
      </c>
      <c r="L14" s="439" t="s">
        <v>275</v>
      </c>
      <c r="M14" s="439" t="s">
        <v>275</v>
      </c>
      <c r="N14" s="439" t="s">
        <v>275</v>
      </c>
      <c r="O14" s="438" t="s">
        <v>276</v>
      </c>
      <c r="P14" s="439" t="s">
        <v>275</v>
      </c>
      <c r="Q14" s="439" t="s">
        <v>275</v>
      </c>
      <c r="R14" s="439" t="s">
        <v>275</v>
      </c>
      <c r="S14" s="439" t="s">
        <v>275</v>
      </c>
      <c r="T14" s="439" t="s">
        <v>275</v>
      </c>
      <c r="U14" s="460">
        <v>19074057</v>
      </c>
      <c r="V14" s="441">
        <v>200.9</v>
      </c>
      <c r="W14" s="442"/>
      <c r="X14" s="450" t="s">
        <v>257</v>
      </c>
      <c r="Y14" s="451" t="s">
        <v>791</v>
      </c>
      <c r="AA14" s="519">
        <v>181.81</v>
      </c>
      <c r="AB14" s="955"/>
      <c r="AC14" s="461"/>
      <c r="AE14" s="460"/>
      <c r="AF14" s="520"/>
    </row>
    <row r="15" spans="1:32" s="445" customFormat="1" ht="12.75" customHeight="1">
      <c r="A15" s="454"/>
      <c r="B15" s="462"/>
      <c r="C15" s="434"/>
      <c r="D15" s="435" t="s">
        <v>34</v>
      </c>
      <c r="E15" s="436">
        <f>VALUE(CONCATENATE(80,F15))</f>
        <v>8080</v>
      </c>
      <c r="F15" s="437">
        <v>80</v>
      </c>
      <c r="G15" s="438" t="s">
        <v>276</v>
      </c>
      <c r="H15" s="438" t="s">
        <v>276</v>
      </c>
      <c r="I15" s="438" t="s">
        <v>276</v>
      </c>
      <c r="J15" s="439" t="s">
        <v>275</v>
      </c>
      <c r="K15" s="439" t="s">
        <v>275</v>
      </c>
      <c r="L15" s="439" t="s">
        <v>275</v>
      </c>
      <c r="M15" s="438" t="s">
        <v>276</v>
      </c>
      <c r="N15" s="438" t="s">
        <v>276</v>
      </c>
      <c r="O15" s="438" t="s">
        <v>276</v>
      </c>
      <c r="P15" s="438" t="s">
        <v>276</v>
      </c>
      <c r="Q15" s="438" t="s">
        <v>276</v>
      </c>
      <c r="R15" s="439" t="s">
        <v>275</v>
      </c>
      <c r="S15" s="439" t="s">
        <v>275</v>
      </c>
      <c r="T15" s="439" t="s">
        <v>275</v>
      </c>
      <c r="U15" s="460">
        <v>19070679</v>
      </c>
      <c r="V15" s="441">
        <v>214.52</v>
      </c>
      <c r="W15" s="442"/>
      <c r="X15" s="450" t="s">
        <v>254</v>
      </c>
      <c r="Y15" s="451" t="s">
        <v>791</v>
      </c>
      <c r="AA15" s="519">
        <v>194.14</v>
      </c>
      <c r="AB15" s="955"/>
      <c r="AC15" s="461"/>
      <c r="AE15" s="460"/>
      <c r="AF15" s="520"/>
    </row>
    <row r="16" spans="1:32" s="445" customFormat="1" ht="12.75" customHeight="1">
      <c r="A16" s="432" t="s">
        <v>231</v>
      </c>
      <c r="B16" s="433" t="s">
        <v>232</v>
      </c>
      <c r="C16" s="463"/>
      <c r="D16" s="435" t="s">
        <v>34</v>
      </c>
      <c r="E16" s="436" t="str">
        <f>CONCATENATE(65,F16)</f>
        <v>6565</v>
      </c>
      <c r="F16" s="437">
        <v>65</v>
      </c>
      <c r="G16" s="438" t="s">
        <v>276</v>
      </c>
      <c r="H16" s="438" t="s">
        <v>276</v>
      </c>
      <c r="I16" s="438" t="s">
        <v>276</v>
      </c>
      <c r="J16" s="439" t="s">
        <v>275</v>
      </c>
      <c r="K16" s="439" t="s">
        <v>275</v>
      </c>
      <c r="L16" s="439" t="s">
        <v>275</v>
      </c>
      <c r="M16" s="439" t="s">
        <v>275</v>
      </c>
      <c r="N16" s="439" t="s">
        <v>275</v>
      </c>
      <c r="O16" s="439" t="s">
        <v>275</v>
      </c>
      <c r="P16" s="439" t="s">
        <v>275</v>
      </c>
      <c r="Q16" s="439" t="s">
        <v>275</v>
      </c>
      <c r="R16" s="439" t="s">
        <v>275</v>
      </c>
      <c r="S16" s="439" t="s">
        <v>275</v>
      </c>
      <c r="T16" s="439" t="s">
        <v>275</v>
      </c>
      <c r="U16" s="464">
        <v>19074058</v>
      </c>
      <c r="V16" s="441">
        <v>203.15</v>
      </c>
      <c r="W16" s="442"/>
      <c r="X16" s="450" t="s">
        <v>258</v>
      </c>
      <c r="Y16" s="451" t="s">
        <v>791</v>
      </c>
      <c r="AA16" s="519">
        <v>183.84</v>
      </c>
      <c r="AB16" s="955"/>
      <c r="AC16" s="446"/>
      <c r="AE16" s="464"/>
      <c r="AF16" s="520"/>
    </row>
    <row r="17" spans="1:32" s="445" customFormat="1" ht="12.75" customHeight="1">
      <c r="A17" s="432"/>
      <c r="B17" s="433"/>
      <c r="C17" s="434"/>
      <c r="D17" s="435" t="s">
        <v>34</v>
      </c>
      <c r="E17" s="436" t="str">
        <f>CONCATENATE(80,F17)</f>
        <v>80100</v>
      </c>
      <c r="F17" s="437">
        <v>100</v>
      </c>
      <c r="G17" s="438" t="s">
        <v>276</v>
      </c>
      <c r="H17" s="438" t="s">
        <v>276</v>
      </c>
      <c r="I17" s="438" t="s">
        <v>276</v>
      </c>
      <c r="J17" s="439" t="s">
        <v>275</v>
      </c>
      <c r="K17" s="439" t="s">
        <v>275</v>
      </c>
      <c r="L17" s="439" t="s">
        <v>275</v>
      </c>
      <c r="M17" s="438" t="s">
        <v>276</v>
      </c>
      <c r="N17" s="438" t="s">
        <v>276</v>
      </c>
      <c r="O17" s="438" t="s">
        <v>276</v>
      </c>
      <c r="P17" s="438" t="s">
        <v>276</v>
      </c>
      <c r="Q17" s="438" t="s">
        <v>276</v>
      </c>
      <c r="R17" s="439" t="s">
        <v>275</v>
      </c>
      <c r="S17" s="439" t="s">
        <v>275</v>
      </c>
      <c r="T17" s="439" t="s">
        <v>275</v>
      </c>
      <c r="U17" s="465">
        <v>18040303</v>
      </c>
      <c r="V17" s="441">
        <v>62.6</v>
      </c>
      <c r="W17" s="442"/>
      <c r="X17" s="450" t="s">
        <v>280</v>
      </c>
      <c r="Y17" s="451" t="s">
        <v>791</v>
      </c>
      <c r="AA17" s="519">
        <v>56.57</v>
      </c>
      <c r="AB17" s="955"/>
      <c r="AC17" s="458"/>
      <c r="AD17" s="511"/>
      <c r="AE17" s="465"/>
      <c r="AF17" s="520"/>
    </row>
    <row r="18" spans="1:32" ht="12.75" customHeight="1">
      <c r="A18" s="447"/>
      <c r="B18" s="433"/>
      <c r="C18" s="433"/>
      <c r="D18" s="435" t="s">
        <v>34</v>
      </c>
      <c r="E18" s="436" t="str">
        <f>CONCATENATE(100,F18)</f>
        <v>100100</v>
      </c>
      <c r="F18" s="437">
        <v>100</v>
      </c>
      <c r="G18" s="438" t="s">
        <v>277</v>
      </c>
      <c r="H18" s="438" t="s">
        <v>277</v>
      </c>
      <c r="I18" s="438" t="s">
        <v>277</v>
      </c>
      <c r="J18" s="438" t="s">
        <v>274</v>
      </c>
      <c r="K18" s="438" t="s">
        <v>274</v>
      </c>
      <c r="L18" s="438" t="s">
        <v>274</v>
      </c>
      <c r="M18" s="438" t="s">
        <v>277</v>
      </c>
      <c r="N18" s="438" t="s">
        <v>277</v>
      </c>
      <c r="O18" s="438" t="s">
        <v>277</v>
      </c>
      <c r="P18" s="438" t="s">
        <v>277</v>
      </c>
      <c r="Q18" s="438" t="s">
        <v>276</v>
      </c>
      <c r="R18" s="439" t="s">
        <v>275</v>
      </c>
      <c r="S18" s="439" t="s">
        <v>275</v>
      </c>
      <c r="T18" s="439" t="s">
        <v>275</v>
      </c>
      <c r="U18" s="466">
        <v>19075270</v>
      </c>
      <c r="V18" s="441">
        <v>236.36</v>
      </c>
      <c r="W18" s="442"/>
      <c r="X18" s="450" t="s">
        <v>416</v>
      </c>
      <c r="Y18" s="451" t="s">
        <v>791</v>
      </c>
      <c r="AA18" s="519">
        <v>213.89</v>
      </c>
      <c r="AB18" s="955"/>
      <c r="AC18" s="452"/>
      <c r="AE18" s="466"/>
      <c r="AF18" s="520"/>
    </row>
    <row r="19" spans="1:32" ht="12.75" customHeight="1">
      <c r="A19" s="447"/>
      <c r="B19" s="433"/>
      <c r="C19" s="433"/>
      <c r="D19" s="435" t="s">
        <v>34</v>
      </c>
      <c r="E19" s="436" t="str">
        <f>CONCATENATE(150,F19)</f>
        <v>150150</v>
      </c>
      <c r="F19" s="437">
        <v>150</v>
      </c>
      <c r="G19" s="439" t="s">
        <v>275</v>
      </c>
      <c r="H19" s="438" t="s">
        <v>274</v>
      </c>
      <c r="I19" s="438" t="s">
        <v>274</v>
      </c>
      <c r="J19" s="439" t="s">
        <v>275</v>
      </c>
      <c r="K19" s="438" t="s">
        <v>274</v>
      </c>
      <c r="L19" s="438" t="s">
        <v>274</v>
      </c>
      <c r="M19" s="438" t="s">
        <v>274</v>
      </c>
      <c r="N19" s="438" t="s">
        <v>274</v>
      </c>
      <c r="O19" s="438" t="s">
        <v>274</v>
      </c>
      <c r="P19" s="438" t="s">
        <v>274</v>
      </c>
      <c r="Q19" s="438" t="s">
        <v>274</v>
      </c>
      <c r="R19" s="438" t="s">
        <v>274</v>
      </c>
      <c r="S19" s="438" t="s">
        <v>274</v>
      </c>
      <c r="T19" s="438" t="s">
        <v>274</v>
      </c>
      <c r="U19" s="466">
        <v>19075269</v>
      </c>
      <c r="V19" s="441">
        <v>301.49</v>
      </c>
      <c r="W19" s="442"/>
      <c r="X19" s="450" t="s">
        <v>259</v>
      </c>
      <c r="Y19" s="451"/>
      <c r="AA19" s="519">
        <v>272.83999999999997</v>
      </c>
      <c r="AB19" s="955"/>
      <c r="AC19" s="452"/>
      <c r="AE19" s="466"/>
      <c r="AF19" s="520"/>
    </row>
    <row r="20" spans="1:32" ht="12.75" customHeight="1">
      <c r="A20" s="454"/>
      <c r="B20" s="462"/>
      <c r="C20" s="462"/>
      <c r="D20" s="435" t="s">
        <v>34</v>
      </c>
      <c r="E20" s="436" t="str">
        <f>CONCATENATE(200,F20)</f>
        <v>200200</v>
      </c>
      <c r="F20" s="437">
        <v>200</v>
      </c>
      <c r="G20" s="439" t="s">
        <v>275</v>
      </c>
      <c r="H20" s="439" t="s">
        <v>275</v>
      </c>
      <c r="I20" s="439" t="s">
        <v>275</v>
      </c>
      <c r="J20" s="439" t="s">
        <v>275</v>
      </c>
      <c r="K20" s="439" t="s">
        <v>275</v>
      </c>
      <c r="L20" s="439" t="s">
        <v>275</v>
      </c>
      <c r="M20" s="439" t="s">
        <v>275</v>
      </c>
      <c r="N20" s="438" t="s">
        <v>274</v>
      </c>
      <c r="O20" s="439" t="s">
        <v>275</v>
      </c>
      <c r="P20" s="438" t="s">
        <v>274</v>
      </c>
      <c r="Q20" s="438" t="s">
        <v>274</v>
      </c>
      <c r="R20" s="438" t="s">
        <v>274</v>
      </c>
      <c r="S20" s="438" t="s">
        <v>274</v>
      </c>
      <c r="T20" s="438" t="s">
        <v>274</v>
      </c>
      <c r="U20" s="467">
        <v>19075271</v>
      </c>
      <c r="V20" s="441">
        <v>486.12</v>
      </c>
      <c r="W20" s="442"/>
      <c r="X20" s="469" t="s">
        <v>260</v>
      </c>
      <c r="Y20" s="470"/>
      <c r="AA20" s="519">
        <v>439.93</v>
      </c>
      <c r="AB20" s="955"/>
      <c r="AC20" s="471"/>
      <c r="AE20" s="467"/>
      <c r="AF20" s="520"/>
    </row>
    <row r="21" spans="1:32" s="445" customFormat="1" ht="12.75" customHeight="1">
      <c r="A21" s="432" t="s">
        <v>233</v>
      </c>
      <c r="B21" s="433" t="s">
        <v>234</v>
      </c>
      <c r="C21" s="434"/>
      <c r="D21" s="435" t="s">
        <v>34</v>
      </c>
      <c r="E21" s="436">
        <v>100</v>
      </c>
      <c r="F21" s="437"/>
      <c r="G21" s="438" t="s">
        <v>274</v>
      </c>
      <c r="H21" s="438" t="s">
        <v>274</v>
      </c>
      <c r="I21" s="438" t="s">
        <v>274</v>
      </c>
      <c r="J21" s="438" t="s">
        <v>274</v>
      </c>
      <c r="K21" s="438" t="s">
        <v>274</v>
      </c>
      <c r="L21" s="438" t="s">
        <v>274</v>
      </c>
      <c r="M21" s="438" t="s">
        <v>274</v>
      </c>
      <c r="N21" s="438" t="s">
        <v>274</v>
      </c>
      <c r="O21" s="438" t="s">
        <v>274</v>
      </c>
      <c r="P21" s="438" t="s">
        <v>274</v>
      </c>
      <c r="Q21" s="439" t="s">
        <v>275</v>
      </c>
      <c r="R21" s="439" t="s">
        <v>275</v>
      </c>
      <c r="S21" s="439" t="s">
        <v>275</v>
      </c>
      <c r="T21" s="439" t="s">
        <v>275</v>
      </c>
      <c r="U21" s="465">
        <v>262135</v>
      </c>
      <c r="V21" s="441">
        <v>195.56</v>
      </c>
      <c r="W21" s="442"/>
      <c r="AA21" s="519">
        <v>176.98</v>
      </c>
      <c r="AB21" s="955"/>
      <c r="AC21" s="458"/>
      <c r="AE21" s="465"/>
      <c r="AF21" s="520"/>
    </row>
    <row r="22" spans="1:32" ht="12.75" customHeight="1">
      <c r="A22" s="447"/>
      <c r="B22" s="433"/>
      <c r="C22" s="433"/>
      <c r="D22" s="435" t="s">
        <v>34</v>
      </c>
      <c r="E22" s="436">
        <v>150</v>
      </c>
      <c r="F22" s="437"/>
      <c r="G22" s="439" t="s">
        <v>275</v>
      </c>
      <c r="H22" s="438" t="s">
        <v>274</v>
      </c>
      <c r="I22" s="438" t="s">
        <v>274</v>
      </c>
      <c r="J22" s="439" t="s">
        <v>275</v>
      </c>
      <c r="K22" s="438" t="s">
        <v>274</v>
      </c>
      <c r="L22" s="438" t="s">
        <v>274</v>
      </c>
      <c r="M22" s="438" t="s">
        <v>274</v>
      </c>
      <c r="N22" s="438" t="s">
        <v>274</v>
      </c>
      <c r="O22" s="438" t="s">
        <v>274</v>
      </c>
      <c r="P22" s="438" t="s">
        <v>274</v>
      </c>
      <c r="Q22" s="438" t="s">
        <v>274</v>
      </c>
      <c r="R22" s="438" t="s">
        <v>274</v>
      </c>
      <c r="S22" s="438" t="s">
        <v>274</v>
      </c>
      <c r="T22" s="438" t="s">
        <v>274</v>
      </c>
      <c r="U22" s="472">
        <v>1020844</v>
      </c>
      <c r="V22" s="441">
        <v>336.78</v>
      </c>
      <c r="W22" s="442"/>
      <c r="AA22" s="519">
        <v>304.77999999999997</v>
      </c>
      <c r="AB22" s="955"/>
      <c r="AC22" s="452"/>
      <c r="AE22" s="472"/>
      <c r="AF22" s="520"/>
    </row>
    <row r="23" spans="1:32" ht="12.75" customHeight="1">
      <c r="A23" s="454"/>
      <c r="B23" s="462"/>
      <c r="C23" s="462"/>
      <c r="D23" s="435" t="s">
        <v>34</v>
      </c>
      <c r="E23" s="436">
        <v>200</v>
      </c>
      <c r="F23" s="437"/>
      <c r="G23" s="439" t="s">
        <v>275</v>
      </c>
      <c r="H23" s="439" t="s">
        <v>275</v>
      </c>
      <c r="I23" s="439" t="s">
        <v>275</v>
      </c>
      <c r="J23" s="439" t="s">
        <v>275</v>
      </c>
      <c r="K23" s="439" t="s">
        <v>275</v>
      </c>
      <c r="L23" s="439" t="s">
        <v>275</v>
      </c>
      <c r="M23" s="439" t="s">
        <v>275</v>
      </c>
      <c r="N23" s="438" t="s">
        <v>274</v>
      </c>
      <c r="O23" s="439" t="s">
        <v>275</v>
      </c>
      <c r="P23" s="438" t="s">
        <v>274</v>
      </c>
      <c r="Q23" s="438" t="s">
        <v>274</v>
      </c>
      <c r="R23" s="438" t="s">
        <v>274</v>
      </c>
      <c r="S23" s="438" t="s">
        <v>274</v>
      </c>
      <c r="T23" s="438" t="s">
        <v>274</v>
      </c>
      <c r="U23" s="473">
        <v>263071</v>
      </c>
      <c r="V23" s="441">
        <v>652.88</v>
      </c>
      <c r="W23" s="442"/>
      <c r="AA23" s="519">
        <v>590.84</v>
      </c>
      <c r="AB23" s="955"/>
      <c r="AC23" s="471"/>
      <c r="AE23" s="473"/>
      <c r="AF23" s="520"/>
    </row>
    <row r="24" spans="1:32" ht="12.75" customHeight="1">
      <c r="A24" s="432" t="s">
        <v>235</v>
      </c>
      <c r="B24" s="433" t="s">
        <v>236</v>
      </c>
      <c r="C24" s="434"/>
      <c r="D24" s="435" t="s">
        <v>34</v>
      </c>
      <c r="E24" s="436">
        <v>100</v>
      </c>
      <c r="F24" s="437"/>
      <c r="G24" s="438" t="s">
        <v>274</v>
      </c>
      <c r="H24" s="438" t="s">
        <v>274</v>
      </c>
      <c r="I24" s="438" t="s">
        <v>274</v>
      </c>
      <c r="J24" s="438" t="s">
        <v>274</v>
      </c>
      <c r="K24" s="438" t="s">
        <v>274</v>
      </c>
      <c r="L24" s="438" t="s">
        <v>274</v>
      </c>
      <c r="M24" s="438" t="s">
        <v>274</v>
      </c>
      <c r="N24" s="438" t="s">
        <v>274</v>
      </c>
      <c r="O24" s="438" t="s">
        <v>274</v>
      </c>
      <c r="P24" s="438" t="s">
        <v>274</v>
      </c>
      <c r="Q24" s="439" t="s">
        <v>275</v>
      </c>
      <c r="R24" s="439" t="s">
        <v>275</v>
      </c>
      <c r="S24" s="439" t="s">
        <v>275</v>
      </c>
      <c r="T24" s="439" t="s">
        <v>275</v>
      </c>
      <c r="U24" s="465">
        <v>1070642</v>
      </c>
      <c r="V24" s="441">
        <v>377.53</v>
      </c>
      <c r="W24" s="442"/>
      <c r="AA24" s="519">
        <v>341.66</v>
      </c>
      <c r="AB24" s="955"/>
      <c r="AC24" s="458"/>
      <c r="AE24" s="465"/>
      <c r="AF24" s="520"/>
    </row>
    <row r="25" spans="1:32" ht="12.75" customHeight="1">
      <c r="A25" s="447"/>
      <c r="B25" s="433"/>
      <c r="C25" s="433"/>
      <c r="D25" s="435" t="s">
        <v>34</v>
      </c>
      <c r="E25" s="436">
        <v>150</v>
      </c>
      <c r="F25" s="437"/>
      <c r="G25" s="439" t="s">
        <v>275</v>
      </c>
      <c r="H25" s="438" t="s">
        <v>274</v>
      </c>
      <c r="I25" s="438" t="s">
        <v>274</v>
      </c>
      <c r="J25" s="439" t="s">
        <v>275</v>
      </c>
      <c r="K25" s="438" t="s">
        <v>274</v>
      </c>
      <c r="L25" s="438" t="s">
        <v>274</v>
      </c>
      <c r="M25" s="438" t="s">
        <v>274</v>
      </c>
      <c r="N25" s="438" t="s">
        <v>274</v>
      </c>
      <c r="O25" s="438" t="s">
        <v>274</v>
      </c>
      <c r="P25" s="438" t="s">
        <v>274</v>
      </c>
      <c r="Q25" s="438" t="s">
        <v>274</v>
      </c>
      <c r="R25" s="438" t="s">
        <v>274</v>
      </c>
      <c r="S25" s="438" t="s">
        <v>274</v>
      </c>
      <c r="T25" s="438" t="s">
        <v>274</v>
      </c>
      <c r="U25" s="472">
        <v>1070641</v>
      </c>
      <c r="V25" s="441">
        <v>556.88</v>
      </c>
      <c r="W25" s="442"/>
      <c r="AA25" s="519">
        <v>503.96</v>
      </c>
      <c r="AB25" s="955"/>
      <c r="AC25" s="452"/>
      <c r="AE25" s="472"/>
      <c r="AF25" s="520"/>
    </row>
    <row r="26" spans="1:32" ht="12.75" customHeight="1">
      <c r="A26" s="454"/>
      <c r="B26" s="462"/>
      <c r="C26" s="462"/>
      <c r="D26" s="435" t="s">
        <v>34</v>
      </c>
      <c r="E26" s="436">
        <v>200</v>
      </c>
      <c r="F26" s="437"/>
      <c r="G26" s="439" t="s">
        <v>275</v>
      </c>
      <c r="H26" s="439" t="s">
        <v>275</v>
      </c>
      <c r="I26" s="439" t="s">
        <v>275</v>
      </c>
      <c r="J26" s="439" t="s">
        <v>275</v>
      </c>
      <c r="K26" s="439" t="s">
        <v>275</v>
      </c>
      <c r="L26" s="439" t="s">
        <v>275</v>
      </c>
      <c r="M26" s="439" t="s">
        <v>275</v>
      </c>
      <c r="N26" s="438" t="s">
        <v>274</v>
      </c>
      <c r="O26" s="439" t="s">
        <v>275</v>
      </c>
      <c r="P26" s="438" t="s">
        <v>274</v>
      </c>
      <c r="Q26" s="438" t="s">
        <v>274</v>
      </c>
      <c r="R26" s="438" t="s">
        <v>274</v>
      </c>
      <c r="S26" s="438" t="s">
        <v>274</v>
      </c>
      <c r="T26" s="438" t="s">
        <v>274</v>
      </c>
      <c r="U26" s="473">
        <v>1132654</v>
      </c>
      <c r="V26" s="441">
        <v>760.21</v>
      </c>
      <c r="W26" s="442"/>
      <c r="AA26" s="519">
        <v>687.97</v>
      </c>
      <c r="AB26" s="955"/>
      <c r="AC26" s="471"/>
      <c r="AE26" s="473"/>
      <c r="AF26" s="520"/>
    </row>
    <row r="27" spans="1:32" ht="12.75" customHeight="1">
      <c r="A27" s="432" t="s">
        <v>237</v>
      </c>
      <c r="B27" s="433" t="s">
        <v>931</v>
      </c>
      <c r="C27" s="463"/>
      <c r="D27" s="435" t="s">
        <v>269</v>
      </c>
      <c r="E27" s="474" t="s">
        <v>787</v>
      </c>
      <c r="F27" s="437"/>
      <c r="G27" s="439" t="s">
        <v>275</v>
      </c>
      <c r="H27" s="439" t="s">
        <v>275</v>
      </c>
      <c r="I27" s="439" t="s">
        <v>275</v>
      </c>
      <c r="J27" s="439" t="s">
        <v>275</v>
      </c>
      <c r="K27" s="438" t="s">
        <v>276</v>
      </c>
      <c r="L27" s="438" t="s">
        <v>276</v>
      </c>
      <c r="M27" s="439" t="s">
        <v>275</v>
      </c>
      <c r="N27" s="439" t="s">
        <v>275</v>
      </c>
      <c r="O27" s="439" t="s">
        <v>275</v>
      </c>
      <c r="P27" s="439" t="s">
        <v>275</v>
      </c>
      <c r="Q27" s="439" t="s">
        <v>275</v>
      </c>
      <c r="R27" s="439" t="s">
        <v>275</v>
      </c>
      <c r="S27" s="439" t="s">
        <v>275</v>
      </c>
      <c r="T27" s="439" t="s">
        <v>275</v>
      </c>
      <c r="U27" s="464">
        <v>1009771</v>
      </c>
      <c r="V27" s="441">
        <v>84.31</v>
      </c>
      <c r="W27" s="442"/>
      <c r="AA27" s="519">
        <v>76.209999999999994</v>
      </c>
      <c r="AB27" s="955"/>
      <c r="AC27" s="446"/>
      <c r="AE27" s="464"/>
      <c r="AF27" s="520"/>
    </row>
    <row r="28" spans="1:32" ht="12.75" customHeight="1">
      <c r="A28" s="447"/>
      <c r="B28" s="475"/>
      <c r="C28" s="455"/>
      <c r="D28" s="435" t="s">
        <v>269</v>
      </c>
      <c r="E28" s="476" t="s">
        <v>749</v>
      </c>
      <c r="F28" s="437"/>
      <c r="G28" s="439" t="s">
        <v>275</v>
      </c>
      <c r="H28" s="439" t="s">
        <v>275</v>
      </c>
      <c r="I28" s="439" t="s">
        <v>275</v>
      </c>
      <c r="J28" s="439" t="s">
        <v>275</v>
      </c>
      <c r="K28" s="438" t="s">
        <v>276</v>
      </c>
      <c r="L28" s="438" t="s">
        <v>276</v>
      </c>
      <c r="M28" s="439" t="s">
        <v>275</v>
      </c>
      <c r="N28" s="439" t="s">
        <v>275</v>
      </c>
      <c r="O28" s="439" t="s">
        <v>275</v>
      </c>
      <c r="P28" s="439" t="s">
        <v>275</v>
      </c>
      <c r="Q28" s="439" t="s">
        <v>275</v>
      </c>
      <c r="R28" s="439" t="s">
        <v>275</v>
      </c>
      <c r="S28" s="439" t="s">
        <v>275</v>
      </c>
      <c r="T28" s="439" t="s">
        <v>275</v>
      </c>
      <c r="U28" s="477">
        <v>1009773</v>
      </c>
      <c r="V28" s="441">
        <v>100.53</v>
      </c>
      <c r="W28" s="442"/>
      <c r="AA28" s="519">
        <v>90.95</v>
      </c>
      <c r="AB28" s="955"/>
      <c r="AC28" s="457"/>
      <c r="AE28" s="477"/>
      <c r="AF28" s="520"/>
    </row>
    <row r="29" spans="1:32" ht="12.75" customHeight="1">
      <c r="A29" s="447"/>
      <c r="B29" s="478" t="s">
        <v>262</v>
      </c>
      <c r="C29" s="479"/>
      <c r="D29" s="435" t="s">
        <v>270</v>
      </c>
      <c r="E29" s="474" t="s">
        <v>787</v>
      </c>
      <c r="F29" s="437"/>
      <c r="G29" s="439" t="s">
        <v>275</v>
      </c>
      <c r="H29" s="439" t="s">
        <v>275</v>
      </c>
      <c r="I29" s="439" t="s">
        <v>275</v>
      </c>
      <c r="J29" s="439" t="s">
        <v>275</v>
      </c>
      <c r="K29" s="438" t="s">
        <v>276</v>
      </c>
      <c r="L29" s="438" t="s">
        <v>276</v>
      </c>
      <c r="M29" s="439" t="s">
        <v>275</v>
      </c>
      <c r="N29" s="439" t="s">
        <v>275</v>
      </c>
      <c r="O29" s="439" t="s">
        <v>275</v>
      </c>
      <c r="P29" s="439" t="s">
        <v>275</v>
      </c>
      <c r="Q29" s="439" t="s">
        <v>275</v>
      </c>
      <c r="R29" s="439" t="s">
        <v>275</v>
      </c>
      <c r="S29" s="439" t="s">
        <v>275</v>
      </c>
      <c r="T29" s="439" t="s">
        <v>275</v>
      </c>
      <c r="U29" s="464">
        <v>1120610</v>
      </c>
      <c r="V29" s="441">
        <v>229.76</v>
      </c>
      <c r="W29" s="442"/>
      <c r="AA29" s="519">
        <v>207.93</v>
      </c>
      <c r="AB29" s="955"/>
      <c r="AC29" s="446"/>
      <c r="AE29" s="464"/>
      <c r="AF29" s="520"/>
    </row>
    <row r="30" spans="1:32" ht="12.75" customHeight="1">
      <c r="A30" s="447"/>
      <c r="C30" s="455"/>
      <c r="D30" s="435" t="s">
        <v>270</v>
      </c>
      <c r="E30" s="476" t="s">
        <v>749</v>
      </c>
      <c r="F30" s="437"/>
      <c r="G30" s="439" t="s">
        <v>275</v>
      </c>
      <c r="H30" s="439" t="s">
        <v>275</v>
      </c>
      <c r="I30" s="439" t="s">
        <v>275</v>
      </c>
      <c r="J30" s="439" t="s">
        <v>275</v>
      </c>
      <c r="K30" s="438" t="s">
        <v>276</v>
      </c>
      <c r="L30" s="438" t="s">
        <v>276</v>
      </c>
      <c r="M30" s="439" t="s">
        <v>275</v>
      </c>
      <c r="N30" s="439" t="s">
        <v>275</v>
      </c>
      <c r="O30" s="439" t="s">
        <v>275</v>
      </c>
      <c r="P30" s="439" t="s">
        <v>275</v>
      </c>
      <c r="Q30" s="439" t="s">
        <v>275</v>
      </c>
      <c r="R30" s="439" t="s">
        <v>275</v>
      </c>
      <c r="S30" s="439" t="s">
        <v>275</v>
      </c>
      <c r="T30" s="439" t="s">
        <v>275</v>
      </c>
      <c r="U30" s="473">
        <v>1036090</v>
      </c>
      <c r="V30" s="441">
        <v>464.08</v>
      </c>
      <c r="W30" s="442"/>
      <c r="AA30" s="519">
        <v>419.99</v>
      </c>
      <c r="AB30" s="955"/>
      <c r="AC30" s="471"/>
      <c r="AE30" s="473"/>
      <c r="AF30" s="520"/>
    </row>
    <row r="31" spans="1:32" ht="12.75" customHeight="1">
      <c r="A31" s="447"/>
      <c r="B31" s="480" t="s">
        <v>263</v>
      </c>
      <c r="C31" s="481"/>
      <c r="D31" s="435" t="s">
        <v>34</v>
      </c>
      <c r="E31" s="436">
        <v>100</v>
      </c>
      <c r="F31" s="437"/>
      <c r="G31" s="439" t="s">
        <v>275</v>
      </c>
      <c r="H31" s="439" t="s">
        <v>275</v>
      </c>
      <c r="I31" s="439" t="s">
        <v>275</v>
      </c>
      <c r="J31" s="439" t="s">
        <v>275</v>
      </c>
      <c r="K31" s="439" t="s">
        <v>275</v>
      </c>
      <c r="L31" s="439" t="s">
        <v>275</v>
      </c>
      <c r="M31" s="439" t="s">
        <v>275</v>
      </c>
      <c r="N31" s="439" t="s">
        <v>275</v>
      </c>
      <c r="O31" s="439" t="s">
        <v>275</v>
      </c>
      <c r="P31" s="439" t="s">
        <v>275</v>
      </c>
      <c r="Q31" s="439" t="s">
        <v>275</v>
      </c>
      <c r="R31" s="439" t="s">
        <v>275</v>
      </c>
      <c r="S31" s="438" t="s">
        <v>276</v>
      </c>
      <c r="T31" s="438" t="s">
        <v>276</v>
      </c>
      <c r="U31" s="477">
        <v>48829255</v>
      </c>
      <c r="V31" s="441">
        <v>969.73</v>
      </c>
      <c r="W31" s="442"/>
      <c r="AA31" s="519">
        <v>877.58</v>
      </c>
      <c r="AB31" s="955"/>
      <c r="AC31" s="457"/>
      <c r="AE31" s="477"/>
      <c r="AF31" s="520"/>
    </row>
    <row r="32" spans="1:32" ht="12.75" customHeight="1">
      <c r="A32" s="482" t="s">
        <v>238</v>
      </c>
      <c r="B32" s="448" t="s">
        <v>239</v>
      </c>
      <c r="C32" s="434"/>
      <c r="D32" s="435" t="s">
        <v>269</v>
      </c>
      <c r="E32" s="474" t="s">
        <v>787</v>
      </c>
      <c r="F32" s="437"/>
      <c r="G32" s="439" t="s">
        <v>275</v>
      </c>
      <c r="H32" s="439" t="s">
        <v>275</v>
      </c>
      <c r="I32" s="439" t="s">
        <v>275</v>
      </c>
      <c r="J32" s="439" t="s">
        <v>276</v>
      </c>
      <c r="K32" s="438" t="s">
        <v>276</v>
      </c>
      <c r="L32" s="438" t="s">
        <v>276</v>
      </c>
      <c r="M32" s="439" t="s">
        <v>275</v>
      </c>
      <c r="N32" s="439" t="s">
        <v>275</v>
      </c>
      <c r="O32" s="439" t="s">
        <v>275</v>
      </c>
      <c r="P32" s="439" t="s">
        <v>275</v>
      </c>
      <c r="Q32" s="439" t="s">
        <v>275</v>
      </c>
      <c r="R32" s="439" t="s">
        <v>275</v>
      </c>
      <c r="S32" s="439" t="s">
        <v>275</v>
      </c>
      <c r="T32" s="439" t="s">
        <v>275</v>
      </c>
      <c r="U32" s="464">
        <v>1014219</v>
      </c>
      <c r="V32" s="441">
        <v>40.78</v>
      </c>
      <c r="W32" s="442"/>
      <c r="AA32" s="519">
        <v>36.880000000000003</v>
      </c>
      <c r="AB32" s="955"/>
      <c r="AC32" s="446"/>
      <c r="AE32" s="464"/>
      <c r="AF32" s="520"/>
    </row>
    <row r="33" spans="1:32" ht="12.75" customHeight="1">
      <c r="A33" s="432"/>
      <c r="B33" s="483"/>
      <c r="C33" s="455"/>
      <c r="D33" s="435" t="s">
        <v>269</v>
      </c>
      <c r="E33" s="476" t="s">
        <v>749</v>
      </c>
      <c r="F33" s="437"/>
      <c r="G33" s="439" t="s">
        <v>275</v>
      </c>
      <c r="H33" s="439" t="s">
        <v>275</v>
      </c>
      <c r="I33" s="439" t="s">
        <v>275</v>
      </c>
      <c r="J33" s="439" t="s">
        <v>275</v>
      </c>
      <c r="K33" s="438" t="s">
        <v>276</v>
      </c>
      <c r="L33" s="438" t="s">
        <v>276</v>
      </c>
      <c r="M33" s="439" t="s">
        <v>275</v>
      </c>
      <c r="N33" s="439" t="s">
        <v>275</v>
      </c>
      <c r="O33" s="439" t="s">
        <v>275</v>
      </c>
      <c r="P33" s="439" t="s">
        <v>275</v>
      </c>
      <c r="Q33" s="439" t="s">
        <v>275</v>
      </c>
      <c r="R33" s="439" t="s">
        <v>275</v>
      </c>
      <c r="S33" s="439" t="s">
        <v>275</v>
      </c>
      <c r="T33" s="439" t="s">
        <v>275</v>
      </c>
      <c r="U33" s="473">
        <v>411503</v>
      </c>
      <c r="V33" s="441">
        <v>78.83</v>
      </c>
      <c r="W33" s="442"/>
      <c r="AA33" s="519">
        <v>71.27</v>
      </c>
      <c r="AB33" s="955"/>
      <c r="AC33" s="471"/>
      <c r="AE33" s="473"/>
      <c r="AF33" s="520"/>
    </row>
    <row r="34" spans="1:32" ht="12.75" customHeight="1">
      <c r="A34" s="432"/>
      <c r="B34" s="478" t="s">
        <v>240</v>
      </c>
      <c r="C34" s="479"/>
      <c r="D34" s="435" t="s">
        <v>269</v>
      </c>
      <c r="E34" s="474" t="s">
        <v>787</v>
      </c>
      <c r="F34" s="437"/>
      <c r="G34" s="439" t="s">
        <v>275</v>
      </c>
      <c r="H34" s="439" t="s">
        <v>275</v>
      </c>
      <c r="I34" s="439" t="s">
        <v>275</v>
      </c>
      <c r="J34" s="439" t="s">
        <v>276</v>
      </c>
      <c r="K34" s="438" t="s">
        <v>276</v>
      </c>
      <c r="L34" s="438" t="s">
        <v>276</v>
      </c>
      <c r="M34" s="439" t="s">
        <v>275</v>
      </c>
      <c r="N34" s="439" t="s">
        <v>275</v>
      </c>
      <c r="O34" s="439" t="s">
        <v>275</v>
      </c>
      <c r="P34" s="439" t="s">
        <v>275</v>
      </c>
      <c r="Q34" s="439" t="s">
        <v>275</v>
      </c>
      <c r="R34" s="439" t="s">
        <v>275</v>
      </c>
      <c r="S34" s="439" t="s">
        <v>275</v>
      </c>
      <c r="T34" s="439" t="s">
        <v>275</v>
      </c>
      <c r="U34" s="464">
        <v>1120607</v>
      </c>
      <c r="V34" s="441">
        <v>122.62</v>
      </c>
      <c r="W34" s="442"/>
      <c r="AA34" s="519">
        <v>110.97</v>
      </c>
      <c r="AB34" s="955"/>
      <c r="AC34" s="446"/>
      <c r="AE34" s="464"/>
      <c r="AF34" s="520"/>
    </row>
    <row r="35" spans="1:32" ht="12.75" customHeight="1">
      <c r="A35" s="432"/>
      <c r="B35" s="462"/>
      <c r="C35" s="484"/>
      <c r="D35" s="435" t="s">
        <v>269</v>
      </c>
      <c r="E35" s="476" t="s">
        <v>749</v>
      </c>
      <c r="F35" s="437"/>
      <c r="G35" s="439" t="s">
        <v>275</v>
      </c>
      <c r="H35" s="439" t="s">
        <v>275</v>
      </c>
      <c r="I35" s="439" t="s">
        <v>275</v>
      </c>
      <c r="J35" s="439" t="s">
        <v>275</v>
      </c>
      <c r="K35" s="438" t="s">
        <v>276</v>
      </c>
      <c r="L35" s="438" t="s">
        <v>276</v>
      </c>
      <c r="M35" s="439" t="s">
        <v>275</v>
      </c>
      <c r="N35" s="439" t="s">
        <v>275</v>
      </c>
      <c r="O35" s="439" t="s">
        <v>275</v>
      </c>
      <c r="P35" s="439" t="s">
        <v>275</v>
      </c>
      <c r="Q35" s="439" t="s">
        <v>275</v>
      </c>
      <c r="R35" s="439" t="s">
        <v>275</v>
      </c>
      <c r="S35" s="439" t="s">
        <v>275</v>
      </c>
      <c r="T35" s="439" t="s">
        <v>275</v>
      </c>
      <c r="U35" s="473">
        <v>1050382</v>
      </c>
      <c r="V35" s="441">
        <v>219.95</v>
      </c>
      <c r="W35" s="442"/>
      <c r="AA35" s="519">
        <v>199.06</v>
      </c>
      <c r="AB35" s="955"/>
      <c r="AC35" s="471"/>
      <c r="AE35" s="473"/>
      <c r="AF35" s="520"/>
    </row>
    <row r="36" spans="1:32" ht="12.75" customHeight="1">
      <c r="A36" s="432"/>
      <c r="B36" s="433" t="s">
        <v>899</v>
      </c>
      <c r="C36" s="434"/>
      <c r="D36" s="435" t="s">
        <v>34</v>
      </c>
      <c r="E36" s="476">
        <v>80</v>
      </c>
      <c r="F36" s="437"/>
      <c r="G36" s="439" t="s">
        <v>276</v>
      </c>
      <c r="H36" s="439" t="s">
        <v>276</v>
      </c>
      <c r="I36" s="439" t="s">
        <v>276</v>
      </c>
      <c r="J36" s="439" t="s">
        <v>275</v>
      </c>
      <c r="K36" s="439" t="s">
        <v>275</v>
      </c>
      <c r="L36" s="438" t="s">
        <v>275</v>
      </c>
      <c r="M36" s="439" t="s">
        <v>275</v>
      </c>
      <c r="N36" s="439" t="s">
        <v>275</v>
      </c>
      <c r="O36" s="439" t="s">
        <v>275</v>
      </c>
      <c r="P36" s="439" t="s">
        <v>275</v>
      </c>
      <c r="Q36" s="439" t="s">
        <v>275</v>
      </c>
      <c r="R36" s="439" t="s">
        <v>275</v>
      </c>
      <c r="S36" s="439" t="s">
        <v>275</v>
      </c>
      <c r="T36" s="439" t="s">
        <v>275</v>
      </c>
      <c r="U36" s="485">
        <v>1723156</v>
      </c>
      <c r="V36" s="441">
        <v>1332.66</v>
      </c>
      <c r="W36" s="442"/>
      <c r="AA36" s="519">
        <v>1206.03</v>
      </c>
      <c r="AB36" s="955"/>
      <c r="AC36" s="487"/>
      <c r="AE36" s="485"/>
      <c r="AF36" s="520"/>
    </row>
    <row r="37" spans="1:32" ht="12.75" customHeight="1">
      <c r="A37" s="432"/>
      <c r="B37" s="433"/>
      <c r="C37" s="434"/>
      <c r="D37" s="435" t="s">
        <v>34</v>
      </c>
      <c r="E37" s="476">
        <v>100</v>
      </c>
      <c r="F37" s="437"/>
      <c r="G37" s="439" t="s">
        <v>276</v>
      </c>
      <c r="H37" s="439" t="s">
        <v>276</v>
      </c>
      <c r="I37" s="439" t="s">
        <v>276</v>
      </c>
      <c r="J37" s="439" t="s">
        <v>275</v>
      </c>
      <c r="K37" s="439" t="s">
        <v>275</v>
      </c>
      <c r="L37" s="438" t="s">
        <v>275</v>
      </c>
      <c r="M37" s="439" t="s">
        <v>275</v>
      </c>
      <c r="N37" s="439" t="s">
        <v>275</v>
      </c>
      <c r="O37" s="439" t="s">
        <v>275</v>
      </c>
      <c r="P37" s="439" t="s">
        <v>275</v>
      </c>
      <c r="Q37" s="439" t="s">
        <v>275</v>
      </c>
      <c r="R37" s="439" t="s">
        <v>275</v>
      </c>
      <c r="S37" s="439" t="s">
        <v>275</v>
      </c>
      <c r="T37" s="439" t="s">
        <v>275</v>
      </c>
      <c r="U37" s="485">
        <v>1723239</v>
      </c>
      <c r="V37" s="441">
        <v>1905.38</v>
      </c>
      <c r="W37" s="442"/>
      <c r="AA37" s="519">
        <v>1724.32</v>
      </c>
      <c r="AB37" s="955"/>
      <c r="AC37" s="487"/>
      <c r="AE37" s="485"/>
      <c r="AF37" s="520"/>
    </row>
    <row r="38" spans="1:32" ht="12.75" customHeight="1">
      <c r="A38" s="432"/>
      <c r="B38" s="478" t="s">
        <v>264</v>
      </c>
      <c r="C38" s="463"/>
      <c r="D38" s="435" t="s">
        <v>34</v>
      </c>
      <c r="E38" s="436">
        <v>100</v>
      </c>
      <c r="F38" s="437"/>
      <c r="G38" s="438" t="s">
        <v>274</v>
      </c>
      <c r="H38" s="438" t="s">
        <v>274</v>
      </c>
      <c r="I38" s="438" t="s">
        <v>274</v>
      </c>
      <c r="J38" s="439" t="s">
        <v>274</v>
      </c>
      <c r="K38" s="438" t="s">
        <v>274</v>
      </c>
      <c r="L38" s="438" t="s">
        <v>274</v>
      </c>
      <c r="M38" s="438" t="s">
        <v>274</v>
      </c>
      <c r="N38" s="438" t="s">
        <v>274</v>
      </c>
      <c r="O38" s="438" t="s">
        <v>274</v>
      </c>
      <c r="P38" s="438" t="s">
        <v>274</v>
      </c>
      <c r="Q38" s="439" t="s">
        <v>275</v>
      </c>
      <c r="R38" s="439" t="s">
        <v>275</v>
      </c>
      <c r="S38" s="439" t="s">
        <v>275</v>
      </c>
      <c r="T38" s="439" t="s">
        <v>275</v>
      </c>
      <c r="U38" s="464">
        <v>1121715</v>
      </c>
      <c r="V38" s="441">
        <v>658.22</v>
      </c>
      <c r="W38" s="442"/>
      <c r="AA38" s="519">
        <v>595.66999999999996</v>
      </c>
      <c r="AB38" s="955"/>
      <c r="AC38" s="446"/>
      <c r="AE38" s="464"/>
      <c r="AF38" s="520"/>
    </row>
    <row r="39" spans="1:32" ht="12.75" customHeight="1">
      <c r="A39" s="432"/>
      <c r="B39" s="488"/>
      <c r="C39" s="434"/>
      <c r="D39" s="435" t="s">
        <v>34</v>
      </c>
      <c r="E39" s="436">
        <v>150</v>
      </c>
      <c r="F39" s="437"/>
      <c r="G39" s="439" t="s">
        <v>275</v>
      </c>
      <c r="H39" s="438" t="s">
        <v>274</v>
      </c>
      <c r="I39" s="438" t="s">
        <v>274</v>
      </c>
      <c r="J39" s="439" t="s">
        <v>275</v>
      </c>
      <c r="K39" s="438" t="s">
        <v>274</v>
      </c>
      <c r="L39" s="438" t="s">
        <v>274</v>
      </c>
      <c r="M39" s="438" t="s">
        <v>274</v>
      </c>
      <c r="N39" s="438" t="s">
        <v>274</v>
      </c>
      <c r="O39" s="438" t="s">
        <v>274</v>
      </c>
      <c r="P39" s="438" t="s">
        <v>274</v>
      </c>
      <c r="Q39" s="438" t="s">
        <v>274</v>
      </c>
      <c r="R39" s="438" t="s">
        <v>274</v>
      </c>
      <c r="S39" s="438" t="s">
        <v>274</v>
      </c>
      <c r="T39" s="438" t="s">
        <v>274</v>
      </c>
      <c r="U39" s="473">
        <v>1121714</v>
      </c>
      <c r="V39" s="441">
        <v>1316.42</v>
      </c>
      <c r="W39" s="442"/>
      <c r="AA39" s="519">
        <v>1191.33</v>
      </c>
      <c r="AB39" s="955"/>
      <c r="AC39" s="471"/>
      <c r="AE39" s="473"/>
      <c r="AF39" s="520"/>
    </row>
    <row r="40" spans="1:32" s="445" customFormat="1" ht="12.75" customHeight="1">
      <c r="A40" s="432"/>
      <c r="B40" s="489"/>
      <c r="C40" s="484"/>
      <c r="D40" s="435" t="s">
        <v>34</v>
      </c>
      <c r="E40" s="436">
        <v>200</v>
      </c>
      <c r="F40" s="437"/>
      <c r="G40" s="439" t="s">
        <v>275</v>
      </c>
      <c r="H40" s="439" t="s">
        <v>275</v>
      </c>
      <c r="I40" s="439" t="s">
        <v>275</v>
      </c>
      <c r="J40" s="439" t="s">
        <v>275</v>
      </c>
      <c r="K40" s="439" t="s">
        <v>275</v>
      </c>
      <c r="L40" s="439" t="s">
        <v>275</v>
      </c>
      <c r="M40" s="439" t="s">
        <v>275</v>
      </c>
      <c r="N40" s="438" t="s">
        <v>274</v>
      </c>
      <c r="O40" s="439" t="s">
        <v>275</v>
      </c>
      <c r="P40" s="438" t="s">
        <v>274</v>
      </c>
      <c r="Q40" s="438" t="s">
        <v>274</v>
      </c>
      <c r="R40" s="438" t="s">
        <v>274</v>
      </c>
      <c r="S40" s="438" t="s">
        <v>274</v>
      </c>
      <c r="T40" s="438" t="s">
        <v>274</v>
      </c>
      <c r="U40" s="467">
        <v>1506896</v>
      </c>
      <c r="V40" s="441">
        <v>1594.35</v>
      </c>
      <c r="W40" s="442"/>
      <c r="AA40" s="519">
        <v>1442.84</v>
      </c>
      <c r="AB40" s="955"/>
      <c r="AC40" s="471"/>
      <c r="AE40" s="467"/>
      <c r="AF40" s="520"/>
    </row>
    <row r="41" spans="1:32" ht="12.75" customHeight="1">
      <c r="A41" s="447"/>
      <c r="B41" s="433" t="s">
        <v>265</v>
      </c>
      <c r="C41" s="434"/>
      <c r="D41" s="435" t="s">
        <v>34</v>
      </c>
      <c r="E41" s="436">
        <v>65</v>
      </c>
      <c r="F41" s="437"/>
      <c r="G41" s="438" t="s">
        <v>276</v>
      </c>
      <c r="H41" s="438" t="s">
        <v>276</v>
      </c>
      <c r="I41" s="438" t="s">
        <v>276</v>
      </c>
      <c r="J41" s="439" t="s">
        <v>275</v>
      </c>
      <c r="K41" s="439" t="s">
        <v>275</v>
      </c>
      <c r="L41" s="439" t="s">
        <v>275</v>
      </c>
      <c r="M41" s="438" t="s">
        <v>276</v>
      </c>
      <c r="N41" s="438" t="s">
        <v>276</v>
      </c>
      <c r="O41" s="438" t="s">
        <v>276</v>
      </c>
      <c r="P41" s="438" t="s">
        <v>276</v>
      </c>
      <c r="Q41" s="438" t="s">
        <v>276</v>
      </c>
      <c r="R41" s="438" t="s">
        <v>276</v>
      </c>
      <c r="S41" s="439" t="s">
        <v>275</v>
      </c>
      <c r="T41" s="439" t="s">
        <v>275</v>
      </c>
      <c r="U41" s="465">
        <v>49709579</v>
      </c>
      <c r="V41" s="441">
        <v>412.84</v>
      </c>
      <c r="W41" s="442"/>
      <c r="AA41" s="519">
        <v>373.61</v>
      </c>
      <c r="AB41" s="955"/>
      <c r="AC41" s="458"/>
      <c r="AE41" s="465"/>
      <c r="AF41" s="520"/>
    </row>
    <row r="42" spans="1:32" ht="12.75" customHeight="1">
      <c r="A42" s="447"/>
      <c r="B42" s="434" t="s">
        <v>932</v>
      </c>
      <c r="C42" s="434"/>
      <c r="D42" s="435" t="s">
        <v>34</v>
      </c>
      <c r="E42" s="436">
        <v>80</v>
      </c>
      <c r="F42" s="437"/>
      <c r="G42" s="438" t="s">
        <v>276</v>
      </c>
      <c r="H42" s="438" t="s">
        <v>276</v>
      </c>
      <c r="I42" s="438" t="s">
        <v>276</v>
      </c>
      <c r="J42" s="439" t="s">
        <v>275</v>
      </c>
      <c r="K42" s="439" t="s">
        <v>275</v>
      </c>
      <c r="L42" s="439" t="s">
        <v>275</v>
      </c>
      <c r="M42" s="438" t="s">
        <v>276</v>
      </c>
      <c r="N42" s="438" t="s">
        <v>276</v>
      </c>
      <c r="O42" s="438" t="s">
        <v>276</v>
      </c>
      <c r="P42" s="438" t="s">
        <v>276</v>
      </c>
      <c r="Q42" s="438" t="s">
        <v>276</v>
      </c>
      <c r="R42" s="438" t="s">
        <v>276</v>
      </c>
      <c r="S42" s="439" t="s">
        <v>275</v>
      </c>
      <c r="T42" s="439" t="s">
        <v>275</v>
      </c>
      <c r="U42" s="465">
        <v>49709580</v>
      </c>
      <c r="V42" s="441">
        <v>561.5</v>
      </c>
      <c r="W42" s="442"/>
      <c r="AA42" s="519">
        <v>508.15</v>
      </c>
      <c r="AB42" s="955"/>
      <c r="AC42" s="458"/>
      <c r="AE42" s="465"/>
      <c r="AF42" s="520"/>
    </row>
    <row r="43" spans="1:32" ht="12.75" customHeight="1">
      <c r="A43" s="447"/>
      <c r="B43" s="434"/>
      <c r="C43" s="433"/>
      <c r="D43" s="435" t="s">
        <v>34</v>
      </c>
      <c r="E43" s="436">
        <v>100</v>
      </c>
      <c r="F43" s="437"/>
      <c r="G43" s="438" t="s">
        <v>274</v>
      </c>
      <c r="H43" s="438" t="s">
        <v>274</v>
      </c>
      <c r="I43" s="438" t="s">
        <v>274</v>
      </c>
      <c r="J43" s="438" t="s">
        <v>274</v>
      </c>
      <c r="K43" s="438" t="s">
        <v>274</v>
      </c>
      <c r="L43" s="438" t="s">
        <v>274</v>
      </c>
      <c r="M43" s="438" t="s">
        <v>274</v>
      </c>
      <c r="N43" s="438" t="s">
        <v>274</v>
      </c>
      <c r="O43" s="438" t="s">
        <v>274</v>
      </c>
      <c r="P43" s="438" t="s">
        <v>274</v>
      </c>
      <c r="Q43" s="439" t="s">
        <v>275</v>
      </c>
      <c r="R43" s="439" t="s">
        <v>275</v>
      </c>
      <c r="S43" s="438" t="s">
        <v>276</v>
      </c>
      <c r="T43" s="438" t="s">
        <v>276</v>
      </c>
      <c r="U43" s="472">
        <v>49709581</v>
      </c>
      <c r="V43" s="441">
        <v>644.12</v>
      </c>
      <c r="W43" s="442"/>
      <c r="AA43" s="519">
        <v>582.91999999999996</v>
      </c>
      <c r="AB43" s="955"/>
      <c r="AC43" s="452"/>
      <c r="AE43" s="472"/>
      <c r="AF43" s="520"/>
    </row>
    <row r="44" spans="1:32" ht="12.75" customHeight="1">
      <c r="A44" s="447"/>
      <c r="B44" s="433"/>
      <c r="C44" s="433"/>
      <c r="D44" s="435" t="s">
        <v>34</v>
      </c>
      <c r="E44" s="436">
        <v>150</v>
      </c>
      <c r="F44" s="437"/>
      <c r="G44" s="439" t="s">
        <v>275</v>
      </c>
      <c r="H44" s="438" t="s">
        <v>274</v>
      </c>
      <c r="I44" s="438" t="s">
        <v>274</v>
      </c>
      <c r="J44" s="439" t="s">
        <v>275</v>
      </c>
      <c r="K44" s="438" t="s">
        <v>274</v>
      </c>
      <c r="L44" s="438" t="s">
        <v>274</v>
      </c>
      <c r="M44" s="438" t="s">
        <v>274</v>
      </c>
      <c r="N44" s="438" t="s">
        <v>274</v>
      </c>
      <c r="O44" s="438" t="s">
        <v>274</v>
      </c>
      <c r="P44" s="438" t="s">
        <v>274</v>
      </c>
      <c r="Q44" s="438" t="s">
        <v>274</v>
      </c>
      <c r="R44" s="438" t="s">
        <v>274</v>
      </c>
      <c r="S44" s="438" t="s">
        <v>274</v>
      </c>
      <c r="T44" s="438" t="s">
        <v>274</v>
      </c>
      <c r="U44" s="472"/>
      <c r="V44" s="441" t="e">
        <v>#N/A</v>
      </c>
      <c r="W44" s="442"/>
      <c r="AA44" s="519" t="e">
        <v>#N/A</v>
      </c>
      <c r="AB44" s="955"/>
      <c r="AC44" s="452"/>
      <c r="AE44" s="465"/>
      <c r="AF44" s="520"/>
    </row>
    <row r="45" spans="1:32" ht="12.75" customHeight="1">
      <c r="A45" s="447"/>
      <c r="B45" s="489"/>
      <c r="C45" s="462"/>
      <c r="D45" s="435" t="s">
        <v>34</v>
      </c>
      <c r="E45" s="436">
        <v>200</v>
      </c>
      <c r="F45" s="437"/>
      <c r="G45" s="439" t="s">
        <v>275</v>
      </c>
      <c r="H45" s="439" t="s">
        <v>275</v>
      </c>
      <c r="I45" s="439" t="s">
        <v>275</v>
      </c>
      <c r="J45" s="439" t="s">
        <v>275</v>
      </c>
      <c r="K45" s="439" t="s">
        <v>275</v>
      </c>
      <c r="L45" s="439" t="s">
        <v>275</v>
      </c>
      <c r="M45" s="439" t="s">
        <v>275</v>
      </c>
      <c r="N45" s="438" t="s">
        <v>274</v>
      </c>
      <c r="O45" s="439" t="s">
        <v>275</v>
      </c>
      <c r="P45" s="438" t="s">
        <v>274</v>
      </c>
      <c r="Q45" s="438" t="s">
        <v>274</v>
      </c>
      <c r="R45" s="438" t="s">
        <v>274</v>
      </c>
      <c r="S45" s="438" t="s">
        <v>274</v>
      </c>
      <c r="T45" s="438" t="s">
        <v>274</v>
      </c>
      <c r="U45" s="473"/>
      <c r="V45" s="441" t="e">
        <v>#N/A</v>
      </c>
      <c r="W45" s="442"/>
      <c r="AA45" s="519" t="e">
        <v>#N/A</v>
      </c>
      <c r="AB45" s="955"/>
      <c r="AC45" s="471"/>
      <c r="AE45" s="472"/>
      <c r="AF45" s="520"/>
    </row>
    <row r="46" spans="1:32" ht="12.75" customHeight="1">
      <c r="A46" s="447"/>
      <c r="B46" s="433" t="s">
        <v>241</v>
      </c>
      <c r="C46" s="434"/>
      <c r="D46" s="435" t="s">
        <v>34</v>
      </c>
      <c r="E46" s="436">
        <v>80</v>
      </c>
      <c r="F46" s="437"/>
      <c r="G46" s="438" t="s">
        <v>276</v>
      </c>
      <c r="H46" s="438" t="s">
        <v>276</v>
      </c>
      <c r="I46" s="438" t="s">
        <v>276</v>
      </c>
      <c r="J46" s="439" t="s">
        <v>275</v>
      </c>
      <c r="K46" s="439" t="s">
        <v>275</v>
      </c>
      <c r="L46" s="439" t="s">
        <v>275</v>
      </c>
      <c r="M46" s="438" t="s">
        <v>276</v>
      </c>
      <c r="N46" s="438" t="s">
        <v>276</v>
      </c>
      <c r="O46" s="438" t="s">
        <v>276</v>
      </c>
      <c r="P46" s="438" t="s">
        <v>276</v>
      </c>
      <c r="Q46" s="438" t="s">
        <v>276</v>
      </c>
      <c r="R46" s="438" t="s">
        <v>276</v>
      </c>
      <c r="S46" s="439" t="s">
        <v>275</v>
      </c>
      <c r="T46" s="439" t="s">
        <v>275</v>
      </c>
      <c r="U46" s="465">
        <v>1056708</v>
      </c>
      <c r="V46" s="441">
        <v>344.98</v>
      </c>
      <c r="W46" s="442"/>
      <c r="AA46" s="519">
        <v>312.2</v>
      </c>
      <c r="AB46" s="955"/>
      <c r="AC46" s="487"/>
      <c r="AE46" s="472"/>
      <c r="AF46" s="520"/>
    </row>
    <row r="47" spans="1:32" ht="12.75" customHeight="1">
      <c r="A47" s="447"/>
      <c r="B47" s="433" t="s">
        <v>242</v>
      </c>
      <c r="C47" s="433"/>
      <c r="D47" s="435" t="s">
        <v>34</v>
      </c>
      <c r="E47" s="436">
        <v>100</v>
      </c>
      <c r="F47" s="437"/>
      <c r="G47" s="438" t="s">
        <v>274</v>
      </c>
      <c r="H47" s="438" t="s">
        <v>274</v>
      </c>
      <c r="I47" s="438" t="s">
        <v>274</v>
      </c>
      <c r="J47" s="438" t="s">
        <v>274</v>
      </c>
      <c r="K47" s="438" t="s">
        <v>274</v>
      </c>
      <c r="L47" s="438" t="s">
        <v>274</v>
      </c>
      <c r="M47" s="438" t="s">
        <v>274</v>
      </c>
      <c r="N47" s="438" t="s">
        <v>274</v>
      </c>
      <c r="O47" s="438" t="s">
        <v>274</v>
      </c>
      <c r="P47" s="438" t="s">
        <v>274</v>
      </c>
      <c r="Q47" s="439" t="s">
        <v>275</v>
      </c>
      <c r="R47" s="439" t="s">
        <v>275</v>
      </c>
      <c r="S47" s="438" t="s">
        <v>276</v>
      </c>
      <c r="T47" s="438" t="s">
        <v>276</v>
      </c>
      <c r="U47" s="472">
        <v>1056709</v>
      </c>
      <c r="V47" s="441">
        <v>369.45</v>
      </c>
      <c r="W47" s="442"/>
      <c r="AA47" s="519">
        <v>334.34</v>
      </c>
      <c r="AB47" s="955"/>
      <c r="AC47" s="487"/>
      <c r="AE47" s="473"/>
      <c r="AF47" s="520"/>
    </row>
    <row r="48" spans="1:32" ht="12.75" customHeight="1">
      <c r="A48" s="447"/>
      <c r="B48" s="433"/>
      <c r="C48" s="433"/>
      <c r="D48" s="435" t="s">
        <v>34</v>
      </c>
      <c r="E48" s="436">
        <v>150</v>
      </c>
      <c r="F48" s="437"/>
      <c r="G48" s="439" t="s">
        <v>275</v>
      </c>
      <c r="H48" s="438" t="s">
        <v>274</v>
      </c>
      <c r="I48" s="438" t="s">
        <v>274</v>
      </c>
      <c r="J48" s="439" t="s">
        <v>275</v>
      </c>
      <c r="K48" s="438" t="s">
        <v>274</v>
      </c>
      <c r="L48" s="438" t="s">
        <v>274</v>
      </c>
      <c r="M48" s="438" t="s">
        <v>274</v>
      </c>
      <c r="N48" s="438" t="s">
        <v>274</v>
      </c>
      <c r="O48" s="438" t="s">
        <v>274</v>
      </c>
      <c r="P48" s="438" t="s">
        <v>274</v>
      </c>
      <c r="Q48" s="438" t="s">
        <v>274</v>
      </c>
      <c r="R48" s="438" t="s">
        <v>274</v>
      </c>
      <c r="S48" s="438" t="s">
        <v>274</v>
      </c>
      <c r="T48" s="438" t="s">
        <v>274</v>
      </c>
      <c r="U48" s="472">
        <v>1056710</v>
      </c>
      <c r="V48" s="441">
        <v>499.77</v>
      </c>
      <c r="W48" s="442"/>
      <c r="AA48" s="519">
        <v>452.28</v>
      </c>
      <c r="AB48" s="955"/>
      <c r="AC48" s="458"/>
      <c r="AE48" s="465"/>
      <c r="AF48" s="520"/>
    </row>
    <row r="49" spans="1:32" ht="12.75" customHeight="1">
      <c r="A49" s="454"/>
      <c r="B49" s="489"/>
      <c r="C49" s="462"/>
      <c r="D49" s="435" t="s">
        <v>34</v>
      </c>
      <c r="E49" s="436">
        <v>200</v>
      </c>
      <c r="F49" s="437"/>
      <c r="G49" s="439" t="s">
        <v>275</v>
      </c>
      <c r="H49" s="439" t="s">
        <v>275</v>
      </c>
      <c r="I49" s="439" t="s">
        <v>275</v>
      </c>
      <c r="J49" s="439" t="s">
        <v>275</v>
      </c>
      <c r="K49" s="439" t="s">
        <v>275</v>
      </c>
      <c r="L49" s="439" t="s">
        <v>275</v>
      </c>
      <c r="M49" s="439" t="s">
        <v>275</v>
      </c>
      <c r="N49" s="438" t="s">
        <v>274</v>
      </c>
      <c r="O49" s="439" t="s">
        <v>275</v>
      </c>
      <c r="P49" s="438" t="s">
        <v>274</v>
      </c>
      <c r="Q49" s="438" t="s">
        <v>274</v>
      </c>
      <c r="R49" s="438" t="s">
        <v>274</v>
      </c>
      <c r="S49" s="438" t="s">
        <v>274</v>
      </c>
      <c r="T49" s="438" t="s">
        <v>274</v>
      </c>
      <c r="U49" s="473">
        <v>1132653</v>
      </c>
      <c r="V49" s="441">
        <v>620.13</v>
      </c>
      <c r="W49" s="442"/>
      <c r="AA49" s="519">
        <v>561.21</v>
      </c>
      <c r="AB49" s="955"/>
      <c r="AC49" s="452"/>
      <c r="AE49" s="472"/>
      <c r="AF49" s="520"/>
    </row>
    <row r="50" spans="1:32" ht="12.75" customHeight="1">
      <c r="A50" s="432" t="s">
        <v>243</v>
      </c>
      <c r="B50" s="433" t="s">
        <v>244</v>
      </c>
      <c r="D50" s="490" t="s">
        <v>34</v>
      </c>
      <c r="E50" s="436">
        <v>80</v>
      </c>
      <c r="F50" s="437"/>
      <c r="G50" s="439" t="s">
        <v>276</v>
      </c>
      <c r="H50" s="439" t="s">
        <v>276</v>
      </c>
      <c r="I50" s="439" t="s">
        <v>276</v>
      </c>
      <c r="J50" s="439" t="s">
        <v>275</v>
      </c>
      <c r="K50" s="439" t="s">
        <v>275</v>
      </c>
      <c r="L50" s="439" t="s">
        <v>275</v>
      </c>
      <c r="M50" s="439" t="s">
        <v>276</v>
      </c>
      <c r="N50" s="439" t="s">
        <v>276</v>
      </c>
      <c r="O50" s="439" t="s">
        <v>276</v>
      </c>
      <c r="P50" s="439" t="s">
        <v>276</v>
      </c>
      <c r="Q50" s="439" t="s">
        <v>276</v>
      </c>
      <c r="R50" s="439" t="s">
        <v>276</v>
      </c>
      <c r="S50" s="439" t="s">
        <v>275</v>
      </c>
      <c r="T50" s="439" t="s">
        <v>275</v>
      </c>
      <c r="U50" s="465">
        <v>18072644</v>
      </c>
      <c r="V50" s="441">
        <v>43.52</v>
      </c>
      <c r="W50" s="442"/>
      <c r="AA50" s="519">
        <v>39.31</v>
      </c>
      <c r="AB50" s="955"/>
      <c r="AC50" s="452"/>
      <c r="AE50" s="472"/>
      <c r="AF50" s="520"/>
    </row>
    <row r="51" spans="1:32" ht="12.75" customHeight="1">
      <c r="A51" s="447"/>
      <c r="B51" s="433"/>
      <c r="D51" s="491" t="s">
        <v>34</v>
      </c>
      <c r="E51" s="436">
        <v>100</v>
      </c>
      <c r="F51" s="437"/>
      <c r="G51" s="439" t="s">
        <v>277</v>
      </c>
      <c r="H51" s="439" t="s">
        <v>277</v>
      </c>
      <c r="I51" s="439" t="s">
        <v>277</v>
      </c>
      <c r="J51" s="439" t="s">
        <v>274</v>
      </c>
      <c r="K51" s="439" t="s">
        <v>274</v>
      </c>
      <c r="L51" s="439" t="s">
        <v>274</v>
      </c>
      <c r="M51" s="438" t="s">
        <v>277</v>
      </c>
      <c r="N51" s="438" t="s">
        <v>274</v>
      </c>
      <c r="O51" s="438" t="s">
        <v>274</v>
      </c>
      <c r="P51" s="438" t="s">
        <v>274</v>
      </c>
      <c r="Q51" s="439" t="s">
        <v>275</v>
      </c>
      <c r="R51" s="439" t="s">
        <v>275</v>
      </c>
      <c r="S51" s="438" t="s">
        <v>274</v>
      </c>
      <c r="T51" s="438" t="s">
        <v>274</v>
      </c>
      <c r="U51" s="472">
        <v>18060163</v>
      </c>
      <c r="V51" s="441">
        <v>43.52</v>
      </c>
      <c r="W51" s="442"/>
      <c r="AA51" s="519">
        <v>39.31</v>
      </c>
      <c r="AB51" s="955"/>
      <c r="AC51" s="471"/>
      <c r="AE51" s="473"/>
      <c r="AF51" s="520"/>
    </row>
    <row r="52" spans="1:32" ht="12.75" customHeight="1">
      <c r="A52" s="447"/>
      <c r="B52" s="433"/>
      <c r="D52" s="491" t="s">
        <v>34</v>
      </c>
      <c r="E52" s="436">
        <v>150</v>
      </c>
      <c r="F52" s="437"/>
      <c r="G52" s="439" t="s">
        <v>275</v>
      </c>
      <c r="H52" s="439" t="s">
        <v>274</v>
      </c>
      <c r="I52" s="439" t="s">
        <v>274</v>
      </c>
      <c r="J52" s="439" t="s">
        <v>275</v>
      </c>
      <c r="K52" s="439" t="s">
        <v>274</v>
      </c>
      <c r="L52" s="439" t="s">
        <v>274</v>
      </c>
      <c r="M52" s="439" t="s">
        <v>274</v>
      </c>
      <c r="N52" s="439" t="s">
        <v>274</v>
      </c>
      <c r="O52" s="439" t="s">
        <v>274</v>
      </c>
      <c r="P52" s="439" t="s">
        <v>274</v>
      </c>
      <c r="Q52" s="439" t="s">
        <v>274</v>
      </c>
      <c r="R52" s="439" t="s">
        <v>274</v>
      </c>
      <c r="S52" s="439" t="s">
        <v>274</v>
      </c>
      <c r="T52" s="439" t="s">
        <v>274</v>
      </c>
      <c r="U52" s="472">
        <v>18076348</v>
      </c>
      <c r="V52" s="441">
        <v>65.23</v>
      </c>
      <c r="W52" s="442"/>
      <c r="AA52" s="519">
        <v>58.97</v>
      </c>
      <c r="AB52" s="955"/>
      <c r="AC52" s="458"/>
      <c r="AE52" s="465"/>
      <c r="AF52" s="520"/>
    </row>
    <row r="53" spans="1:32">
      <c r="A53" s="454"/>
      <c r="B53" s="462"/>
      <c r="C53" s="462"/>
      <c r="D53" s="462" t="s">
        <v>34</v>
      </c>
      <c r="E53" s="436">
        <v>200</v>
      </c>
      <c r="F53" s="437"/>
      <c r="G53" s="439" t="s">
        <v>275</v>
      </c>
      <c r="H53" s="439" t="s">
        <v>275</v>
      </c>
      <c r="I53" s="439" t="s">
        <v>275</v>
      </c>
      <c r="J53" s="439" t="s">
        <v>275</v>
      </c>
      <c r="K53" s="439" t="s">
        <v>275</v>
      </c>
      <c r="L53" s="439" t="s">
        <v>275</v>
      </c>
      <c r="M53" s="439" t="s">
        <v>275</v>
      </c>
      <c r="N53" s="439" t="s">
        <v>274</v>
      </c>
      <c r="O53" s="439" t="s">
        <v>275</v>
      </c>
      <c r="P53" s="439" t="s">
        <v>274</v>
      </c>
      <c r="Q53" s="439" t="s">
        <v>274</v>
      </c>
      <c r="R53" s="439" t="s">
        <v>274</v>
      </c>
      <c r="S53" s="439" t="s">
        <v>274</v>
      </c>
      <c r="T53" s="439" t="s">
        <v>274</v>
      </c>
      <c r="U53" s="473">
        <v>18040967</v>
      </c>
      <c r="V53" s="441">
        <v>86.39</v>
      </c>
      <c r="W53" s="442"/>
      <c r="AA53" s="519">
        <v>78.16</v>
      </c>
      <c r="AB53" s="955"/>
      <c r="AC53" s="452"/>
      <c r="AE53" s="472"/>
      <c r="AF53" s="520"/>
    </row>
    <row r="54" spans="1:32">
      <c r="A54" s="432" t="s">
        <v>245</v>
      </c>
      <c r="B54" s="433" t="s">
        <v>246</v>
      </c>
      <c r="C54" s="448" t="str">
        <f>CONCATENATE(E54,"StandardC")</f>
        <v>50StandardC</v>
      </c>
      <c r="D54" s="492" t="s">
        <v>34</v>
      </c>
      <c r="E54" s="436">
        <v>50</v>
      </c>
      <c r="F54" s="437"/>
      <c r="G54" s="439" t="s">
        <v>275</v>
      </c>
      <c r="H54" s="439" t="s">
        <v>275</v>
      </c>
      <c r="I54" s="439" t="s">
        <v>275</v>
      </c>
      <c r="J54" s="439" t="s">
        <v>275</v>
      </c>
      <c r="K54" s="439" t="s">
        <v>275</v>
      </c>
      <c r="L54" s="439" t="s">
        <v>276</v>
      </c>
      <c r="M54" s="439" t="s">
        <v>275</v>
      </c>
      <c r="N54" s="439" t="s">
        <v>275</v>
      </c>
      <c r="O54" s="439" t="s">
        <v>275</v>
      </c>
      <c r="P54" s="439" t="s">
        <v>275</v>
      </c>
      <c r="Q54" s="439" t="s">
        <v>275</v>
      </c>
      <c r="R54" s="439" t="s">
        <v>275</v>
      </c>
      <c r="S54" s="439" t="s">
        <v>275</v>
      </c>
      <c r="T54" s="439" t="s">
        <v>275</v>
      </c>
      <c r="U54" s="465">
        <v>1121711</v>
      </c>
      <c r="V54" s="441">
        <v>594.85</v>
      </c>
      <c r="W54" s="442"/>
      <c r="X54" s="493" t="s">
        <v>914</v>
      </c>
      <c r="Y54" s="494" t="s">
        <v>915</v>
      </c>
      <c r="AA54" s="519">
        <v>538.33000000000004</v>
      </c>
      <c r="AB54" s="955"/>
      <c r="AC54" s="452"/>
      <c r="AE54" s="472"/>
      <c r="AF54" s="520"/>
    </row>
    <row r="55" spans="1:32">
      <c r="A55" s="495"/>
      <c r="B55" s="488"/>
      <c r="C55" s="448" t="str">
        <f>CONCATENATE(E55,"StandardC")</f>
        <v>80StandardC</v>
      </c>
      <c r="D55" s="491" t="s">
        <v>34</v>
      </c>
      <c r="E55" s="436">
        <v>80</v>
      </c>
      <c r="F55" s="437"/>
      <c r="G55" s="439" t="s">
        <v>275</v>
      </c>
      <c r="H55" s="439" t="s">
        <v>275</v>
      </c>
      <c r="I55" s="438" t="s">
        <v>276</v>
      </c>
      <c r="J55" s="439" t="s">
        <v>275</v>
      </c>
      <c r="K55" s="439" t="s">
        <v>275</v>
      </c>
      <c r="L55" s="439" t="s">
        <v>275</v>
      </c>
      <c r="M55" s="439" t="s">
        <v>275</v>
      </c>
      <c r="N55" s="439" t="s">
        <v>275</v>
      </c>
      <c r="O55" s="439" t="s">
        <v>276</v>
      </c>
      <c r="P55" s="439" t="s">
        <v>276</v>
      </c>
      <c r="Q55" s="439" t="s">
        <v>276</v>
      </c>
      <c r="R55" s="439" t="s">
        <v>275</v>
      </c>
      <c r="S55" s="439" t="s">
        <v>275</v>
      </c>
      <c r="T55" s="439" t="s">
        <v>275</v>
      </c>
      <c r="U55" s="472">
        <v>18041115</v>
      </c>
      <c r="V55" s="441">
        <v>1241.6400000000001</v>
      </c>
      <c r="W55" s="442"/>
      <c r="X55" s="496" t="s">
        <v>916</v>
      </c>
      <c r="Y55" s="494" t="s">
        <v>915</v>
      </c>
      <c r="AA55" s="519">
        <v>1123.6500000000001</v>
      </c>
      <c r="AB55" s="955"/>
      <c r="AC55" s="471"/>
      <c r="AE55" s="460"/>
      <c r="AF55" s="520"/>
    </row>
    <row r="56" spans="1:32">
      <c r="A56" s="447"/>
      <c r="B56" s="433"/>
      <c r="C56" s="448" t="str">
        <f>CONCATENATE(E56,"Standard")</f>
        <v>100Standard</v>
      </c>
      <c r="D56" s="491" t="s">
        <v>34</v>
      </c>
      <c r="E56" s="436">
        <v>100</v>
      </c>
      <c r="F56" s="437"/>
      <c r="G56" s="439" t="s">
        <v>275</v>
      </c>
      <c r="H56" s="439" t="s">
        <v>275</v>
      </c>
      <c r="I56" s="439" t="s">
        <v>275</v>
      </c>
      <c r="J56" s="439" t="s">
        <v>275</v>
      </c>
      <c r="K56" s="439" t="s">
        <v>275</v>
      </c>
      <c r="L56" s="439" t="s">
        <v>275</v>
      </c>
      <c r="M56" s="439" t="s">
        <v>275</v>
      </c>
      <c r="N56" s="439" t="s">
        <v>275</v>
      </c>
      <c r="O56" s="439" t="s">
        <v>275</v>
      </c>
      <c r="P56" s="439" t="s">
        <v>275</v>
      </c>
      <c r="Q56" s="439" t="s">
        <v>275</v>
      </c>
      <c r="R56" s="439" t="s">
        <v>276</v>
      </c>
      <c r="S56" s="439" t="s">
        <v>275</v>
      </c>
      <c r="T56" s="439" t="s">
        <v>275</v>
      </c>
      <c r="U56" s="472">
        <v>18040252</v>
      </c>
      <c r="V56" s="441">
        <v>1026.74</v>
      </c>
      <c r="W56" s="442"/>
      <c r="X56" s="496" t="s">
        <v>917</v>
      </c>
      <c r="Y56" s="494" t="s">
        <v>918</v>
      </c>
      <c r="AA56" s="519">
        <v>929.18</v>
      </c>
      <c r="AB56" s="955"/>
      <c r="AC56" s="458"/>
      <c r="AE56" s="460"/>
      <c r="AF56" s="520"/>
    </row>
    <row r="57" spans="1:32">
      <c r="A57" s="447"/>
      <c r="B57" s="433"/>
      <c r="C57" s="448" t="str">
        <f>CONCATENATE(E57,"Standard")</f>
        <v>80Standard</v>
      </c>
      <c r="D57" s="497" t="s">
        <v>34</v>
      </c>
      <c r="E57" s="436">
        <v>80</v>
      </c>
      <c r="F57" s="437"/>
      <c r="G57" s="439" t="s">
        <v>275</v>
      </c>
      <c r="H57" s="439" t="s">
        <v>275</v>
      </c>
      <c r="I57" s="439" t="s">
        <v>275</v>
      </c>
      <c r="J57" s="439" t="s">
        <v>275</v>
      </c>
      <c r="K57" s="439" t="s">
        <v>275</v>
      </c>
      <c r="L57" s="439" t="s">
        <v>275</v>
      </c>
      <c r="M57" s="439" t="s">
        <v>275</v>
      </c>
      <c r="N57" s="439" t="s">
        <v>275</v>
      </c>
      <c r="O57" s="439" t="s">
        <v>275</v>
      </c>
      <c r="P57" s="439" t="s">
        <v>275</v>
      </c>
      <c r="Q57" s="439" t="s">
        <v>276</v>
      </c>
      <c r="R57" s="439" t="s">
        <v>275</v>
      </c>
      <c r="S57" s="439" t="s">
        <v>275</v>
      </c>
      <c r="T57" s="439" t="s">
        <v>275</v>
      </c>
      <c r="U57" s="460">
        <v>18040966</v>
      </c>
      <c r="V57" s="441">
        <v>794.43</v>
      </c>
      <c r="W57" s="442"/>
      <c r="X57" s="496" t="s">
        <v>919</v>
      </c>
      <c r="Y57" s="494" t="s">
        <v>918</v>
      </c>
      <c r="AA57" s="519">
        <v>718.93</v>
      </c>
      <c r="AB57" s="955"/>
      <c r="AC57" s="452"/>
      <c r="AE57" s="477"/>
      <c r="AF57" s="520"/>
    </row>
    <row r="58" spans="1:32">
      <c r="A58" s="447"/>
      <c r="B58" s="433"/>
      <c r="C58" s="448" t="str">
        <f>CONCATENATE(E58,"C")</f>
        <v>100C</v>
      </c>
      <c r="D58" s="497" t="s">
        <v>34</v>
      </c>
      <c r="E58" s="436">
        <v>100</v>
      </c>
      <c r="F58" s="437"/>
      <c r="G58" s="439" t="s">
        <v>275</v>
      </c>
      <c r="H58" s="439" t="s">
        <v>275</v>
      </c>
      <c r="I58" s="439" t="s">
        <v>275</v>
      </c>
      <c r="J58" s="439" t="s">
        <v>275</v>
      </c>
      <c r="K58" s="439" t="s">
        <v>275</v>
      </c>
      <c r="L58" s="439" t="s">
        <v>275</v>
      </c>
      <c r="M58" s="439" t="s">
        <v>275</v>
      </c>
      <c r="N58" s="439" t="s">
        <v>275</v>
      </c>
      <c r="O58" s="439" t="s">
        <v>275</v>
      </c>
      <c r="P58" s="439" t="s">
        <v>275</v>
      </c>
      <c r="Q58" s="439" t="s">
        <v>275</v>
      </c>
      <c r="R58" s="439" t="s">
        <v>276</v>
      </c>
      <c r="S58" s="439" t="s">
        <v>275</v>
      </c>
      <c r="T58" s="439" t="s">
        <v>275</v>
      </c>
      <c r="U58" s="460">
        <v>18041287</v>
      </c>
      <c r="V58" s="441">
        <v>2910.81</v>
      </c>
      <c r="W58" s="442"/>
      <c r="X58" s="496" t="s">
        <v>920</v>
      </c>
      <c r="Y58" s="494" t="s">
        <v>918</v>
      </c>
      <c r="AA58" s="519">
        <v>2634.22</v>
      </c>
      <c r="AB58" s="955"/>
      <c r="AC58" s="452"/>
      <c r="AE58" s="473"/>
      <c r="AF58" s="520"/>
    </row>
    <row r="59" spans="1:32">
      <c r="A59" s="454"/>
      <c r="B59" s="462"/>
      <c r="C59" s="462"/>
      <c r="D59" s="498" t="s">
        <v>34</v>
      </c>
      <c r="E59" s="436">
        <v>0</v>
      </c>
      <c r="F59" s="437"/>
      <c r="G59" s="439" t="s">
        <v>275</v>
      </c>
      <c r="H59" s="439" t="s">
        <v>275</v>
      </c>
      <c r="I59" s="439" t="s">
        <v>275</v>
      </c>
      <c r="J59" s="439" t="s">
        <v>275</v>
      </c>
      <c r="K59" s="439" t="s">
        <v>275</v>
      </c>
      <c r="L59" s="439" t="s">
        <v>275</v>
      </c>
      <c r="M59" s="439" t="s">
        <v>275</v>
      </c>
      <c r="N59" s="439" t="s">
        <v>275</v>
      </c>
      <c r="O59" s="439" t="s">
        <v>275</v>
      </c>
      <c r="P59" s="439" t="s">
        <v>275</v>
      </c>
      <c r="Q59" s="439" t="s">
        <v>275</v>
      </c>
      <c r="R59" s="439" t="s">
        <v>275</v>
      </c>
      <c r="S59" s="439" t="s">
        <v>276</v>
      </c>
      <c r="T59" s="439" t="s">
        <v>275</v>
      </c>
      <c r="U59" s="477">
        <v>18040911</v>
      </c>
      <c r="V59" s="441">
        <v>1091.96</v>
      </c>
      <c r="W59" s="442"/>
      <c r="X59" s="496" t="s">
        <v>921</v>
      </c>
      <c r="Y59" s="494" t="s">
        <v>918</v>
      </c>
      <c r="AA59" s="519">
        <v>988.2</v>
      </c>
      <c r="AB59" s="955"/>
      <c r="AC59" s="457"/>
      <c r="AE59" s="473"/>
      <c r="AF59" s="520"/>
    </row>
    <row r="60" spans="1:32">
      <c r="A60" s="499" t="s">
        <v>266</v>
      </c>
      <c r="B60" s="462" t="s">
        <v>267</v>
      </c>
      <c r="C60" s="462"/>
      <c r="D60" s="462" t="s">
        <v>34</v>
      </c>
      <c r="E60" s="436">
        <v>100</v>
      </c>
      <c r="F60" s="437">
        <v>150</v>
      </c>
      <c r="G60" s="439" t="s">
        <v>275</v>
      </c>
      <c r="H60" s="439" t="s">
        <v>275</v>
      </c>
      <c r="I60" s="439" t="s">
        <v>275</v>
      </c>
      <c r="J60" s="439" t="s">
        <v>275</v>
      </c>
      <c r="K60" s="439" t="s">
        <v>275</v>
      </c>
      <c r="L60" s="439" t="s">
        <v>275</v>
      </c>
      <c r="M60" s="439" t="s">
        <v>275</v>
      </c>
      <c r="N60" s="439" t="s">
        <v>275</v>
      </c>
      <c r="O60" s="439" t="s">
        <v>275</v>
      </c>
      <c r="P60" s="439" t="s">
        <v>275</v>
      </c>
      <c r="Q60" s="439" t="s">
        <v>275</v>
      </c>
      <c r="R60" s="439" t="s">
        <v>275</v>
      </c>
      <c r="S60" s="439" t="s">
        <v>275</v>
      </c>
      <c r="T60" s="439" t="s">
        <v>275</v>
      </c>
      <c r="U60" s="473">
        <v>1134592</v>
      </c>
      <c r="V60" s="441">
        <v>1115.05</v>
      </c>
      <c r="W60" s="442"/>
      <c r="X60" s="496" t="s">
        <v>922</v>
      </c>
      <c r="Y60" s="494" t="s">
        <v>923</v>
      </c>
      <c r="AA60" s="519">
        <v>1009.09</v>
      </c>
      <c r="AB60" s="955"/>
      <c r="AC60" s="471"/>
      <c r="AE60" s="473"/>
      <c r="AF60" s="520"/>
    </row>
    <row r="61" spans="1:32">
      <c r="A61" s="499" t="s">
        <v>247</v>
      </c>
      <c r="B61" s="462" t="s">
        <v>933</v>
      </c>
      <c r="C61" s="462"/>
      <c r="D61" s="462" t="s">
        <v>269</v>
      </c>
      <c r="E61" s="500" t="s">
        <v>273</v>
      </c>
      <c r="F61" s="437"/>
      <c r="G61" s="439" t="s">
        <v>229</v>
      </c>
      <c r="H61" s="439" t="s">
        <v>229</v>
      </c>
      <c r="I61" s="439" t="s">
        <v>229</v>
      </c>
      <c r="J61" s="439" t="s">
        <v>229</v>
      </c>
      <c r="K61" s="439" t="s">
        <v>229</v>
      </c>
      <c r="L61" s="439" t="s">
        <v>229</v>
      </c>
      <c r="M61" s="439" t="s">
        <v>229</v>
      </c>
      <c r="N61" s="438" t="s">
        <v>229</v>
      </c>
      <c r="O61" s="439" t="s">
        <v>229</v>
      </c>
      <c r="P61" s="438" t="s">
        <v>229</v>
      </c>
      <c r="Q61" s="438" t="s">
        <v>229</v>
      </c>
      <c r="R61" s="438" t="s">
        <v>229</v>
      </c>
      <c r="S61" s="438" t="s">
        <v>229</v>
      </c>
      <c r="T61" s="438" t="s">
        <v>229</v>
      </c>
      <c r="U61" s="473">
        <v>520485</v>
      </c>
      <c r="V61" s="441">
        <v>383.02</v>
      </c>
      <c r="W61" s="442"/>
      <c r="X61" s="496" t="s">
        <v>924</v>
      </c>
      <c r="Y61" s="494" t="s">
        <v>918</v>
      </c>
      <c r="AA61" s="519">
        <v>346.62</v>
      </c>
      <c r="AB61" s="955"/>
      <c r="AC61" s="471"/>
      <c r="AE61" s="465"/>
      <c r="AF61" s="520"/>
    </row>
    <row r="62" spans="1:32">
      <c r="A62" s="499" t="s">
        <v>249</v>
      </c>
      <c r="B62" s="462" t="s">
        <v>250</v>
      </c>
      <c r="C62" s="462"/>
      <c r="D62" s="462" t="s">
        <v>269</v>
      </c>
      <c r="E62" s="500" t="s">
        <v>273</v>
      </c>
      <c r="F62" s="437"/>
      <c r="G62" s="439" t="s">
        <v>229</v>
      </c>
      <c r="H62" s="439" t="s">
        <v>229</v>
      </c>
      <c r="I62" s="439" t="s">
        <v>229</v>
      </c>
      <c r="J62" s="439" t="s">
        <v>229</v>
      </c>
      <c r="K62" s="439" t="s">
        <v>229</v>
      </c>
      <c r="L62" s="439" t="s">
        <v>229</v>
      </c>
      <c r="M62" s="439" t="s">
        <v>229</v>
      </c>
      <c r="N62" s="438" t="s">
        <v>229</v>
      </c>
      <c r="O62" s="439" t="s">
        <v>229</v>
      </c>
      <c r="P62" s="438" t="s">
        <v>229</v>
      </c>
      <c r="Q62" s="438" t="s">
        <v>229</v>
      </c>
      <c r="R62" s="438" t="s">
        <v>229</v>
      </c>
      <c r="S62" s="438" t="s">
        <v>229</v>
      </c>
      <c r="T62" s="438" t="s">
        <v>229</v>
      </c>
      <c r="U62" s="473">
        <v>19053063</v>
      </c>
      <c r="V62" s="441">
        <v>328.71</v>
      </c>
      <c r="W62" s="442"/>
      <c r="X62" s="496" t="s">
        <v>925</v>
      </c>
      <c r="Y62" s="494" t="s">
        <v>926</v>
      </c>
      <c r="AA62" s="519">
        <v>297.48</v>
      </c>
      <c r="AB62" s="955"/>
      <c r="AC62" s="471"/>
      <c r="AE62" s="472"/>
      <c r="AF62" s="520"/>
    </row>
    <row r="63" spans="1:32" ht="12.75" thickBot="1">
      <c r="A63" s="432" t="s">
        <v>251</v>
      </c>
      <c r="B63" s="433" t="s">
        <v>252</v>
      </c>
      <c r="D63" s="433"/>
      <c r="E63" s="436" t="s">
        <v>790</v>
      </c>
      <c r="F63" s="437"/>
      <c r="G63" s="439" t="s">
        <v>229</v>
      </c>
      <c r="H63" s="439" t="s">
        <v>229</v>
      </c>
      <c r="I63" s="439" t="s">
        <v>229</v>
      </c>
      <c r="J63" s="439" t="s">
        <v>275</v>
      </c>
      <c r="K63" s="439" t="s">
        <v>275</v>
      </c>
      <c r="L63" s="439" t="s">
        <v>275</v>
      </c>
      <c r="M63" s="439" t="s">
        <v>275</v>
      </c>
      <c r="N63" s="439" t="s">
        <v>275</v>
      </c>
      <c r="O63" s="439" t="s">
        <v>275</v>
      </c>
      <c r="P63" s="439" t="s">
        <v>275</v>
      </c>
      <c r="Q63" s="439" t="s">
        <v>275</v>
      </c>
      <c r="R63" s="439" t="s">
        <v>275</v>
      </c>
      <c r="S63" s="439" t="s">
        <v>275</v>
      </c>
      <c r="T63" s="439" t="s">
        <v>275</v>
      </c>
      <c r="U63" s="465">
        <v>18040964</v>
      </c>
      <c r="V63" s="441">
        <v>187.83</v>
      </c>
      <c r="W63" s="442"/>
      <c r="X63" s="501" t="s">
        <v>927</v>
      </c>
      <c r="Y63" s="494" t="s">
        <v>928</v>
      </c>
      <c r="AA63" s="519">
        <v>169.98</v>
      </c>
      <c r="AB63" s="955"/>
      <c r="AC63" s="458"/>
      <c r="AE63" s="472"/>
      <c r="AF63" s="520"/>
    </row>
    <row r="64" spans="1:32" ht="12.75" thickBot="1">
      <c r="A64" s="432"/>
      <c r="B64" s="433"/>
      <c r="D64" s="433"/>
      <c r="E64" s="436" t="s">
        <v>791</v>
      </c>
      <c r="F64" s="437"/>
      <c r="G64" s="439" t="s">
        <v>275</v>
      </c>
      <c r="H64" s="439" t="s">
        <v>275</v>
      </c>
      <c r="I64" s="439" t="s">
        <v>275</v>
      </c>
      <c r="J64" s="439" t="s">
        <v>275</v>
      </c>
      <c r="K64" s="439" t="s">
        <v>229</v>
      </c>
      <c r="L64" s="439" t="s">
        <v>229</v>
      </c>
      <c r="M64" s="439" t="s">
        <v>229</v>
      </c>
      <c r="N64" s="438" t="s">
        <v>229</v>
      </c>
      <c r="O64" s="439" t="s">
        <v>229</v>
      </c>
      <c r="P64" s="438" t="s">
        <v>229</v>
      </c>
      <c r="Q64" s="439" t="s">
        <v>229</v>
      </c>
      <c r="R64" s="439" t="s">
        <v>229</v>
      </c>
      <c r="S64" s="439" t="s">
        <v>275</v>
      </c>
      <c r="T64" s="439" t="s">
        <v>275</v>
      </c>
      <c r="U64" s="472">
        <v>18040965</v>
      </c>
      <c r="V64" s="441">
        <v>265.45999999999998</v>
      </c>
      <c r="W64" s="442"/>
      <c r="X64" s="502"/>
      <c r="Y64" s="503" t="e">
        <f>VLOOKUP(CONCATENATE(INDEX(zub_bez_liste_p13,1,zub_bez_liste_spnr_p13),anlage_werkstoff,dn_zub_dnds_st),matrix_dnds_zub_hr_suchverweis,2,FALSE)</f>
        <v>#VALUE!</v>
      </c>
      <c r="AA64" s="519">
        <v>240.24</v>
      </c>
      <c r="AB64" s="955"/>
      <c r="AC64" s="452"/>
      <c r="AE64" s="473"/>
      <c r="AF64" s="520"/>
    </row>
    <row r="65" spans="1:32">
      <c r="A65" s="447"/>
      <c r="B65" s="434"/>
      <c r="D65" s="504"/>
      <c r="E65" s="436" t="s">
        <v>792</v>
      </c>
      <c r="F65" s="437"/>
      <c r="G65" s="439" t="s">
        <v>275</v>
      </c>
      <c r="H65" s="439" t="s">
        <v>275</v>
      </c>
      <c r="I65" s="439" t="s">
        <v>275</v>
      </c>
      <c r="J65" s="439" t="s">
        <v>275</v>
      </c>
      <c r="K65" s="439" t="s">
        <v>275</v>
      </c>
      <c r="L65" s="439" t="s">
        <v>275</v>
      </c>
      <c r="M65" s="439" t="s">
        <v>275</v>
      </c>
      <c r="N65" s="439" t="s">
        <v>275</v>
      </c>
      <c r="O65" s="439" t="s">
        <v>275</v>
      </c>
      <c r="P65" s="439" t="s">
        <v>275</v>
      </c>
      <c r="Q65" s="439" t="s">
        <v>275</v>
      </c>
      <c r="R65" s="439" t="s">
        <v>275</v>
      </c>
      <c r="S65" s="439" t="s">
        <v>275</v>
      </c>
      <c r="T65" s="438" t="s">
        <v>229</v>
      </c>
      <c r="U65" s="472">
        <v>18040353</v>
      </c>
      <c r="V65" s="441">
        <v>361.3</v>
      </c>
      <c r="W65" s="442"/>
      <c r="AA65" s="519">
        <v>326.97000000000003</v>
      </c>
      <c r="AB65" s="955"/>
      <c r="AC65" s="452"/>
      <c r="AE65" s="473"/>
      <c r="AF65" s="520"/>
    </row>
    <row r="66" spans="1:32">
      <c r="A66" s="447"/>
      <c r="B66" s="434"/>
      <c r="C66" s="433"/>
      <c r="D66" s="504"/>
      <c r="E66" s="436" t="s">
        <v>276</v>
      </c>
      <c r="F66" s="437"/>
      <c r="G66" s="439" t="s">
        <v>275</v>
      </c>
      <c r="H66" s="439" t="s">
        <v>275</v>
      </c>
      <c r="I66" s="439" t="s">
        <v>275</v>
      </c>
      <c r="J66" s="439" t="s">
        <v>275</v>
      </c>
      <c r="K66" s="439" t="s">
        <v>275</v>
      </c>
      <c r="L66" s="439" t="s">
        <v>275</v>
      </c>
      <c r="M66" s="439" t="s">
        <v>229</v>
      </c>
      <c r="N66" s="438" t="s">
        <v>229</v>
      </c>
      <c r="O66" s="439" t="s">
        <v>229</v>
      </c>
      <c r="P66" s="438" t="s">
        <v>229</v>
      </c>
      <c r="Q66" s="439" t="s">
        <v>275</v>
      </c>
      <c r="R66" s="439" t="s">
        <v>275</v>
      </c>
      <c r="S66" s="439" t="s">
        <v>275</v>
      </c>
      <c r="T66" s="439" t="s">
        <v>275</v>
      </c>
      <c r="U66" s="473">
        <v>18041087</v>
      </c>
      <c r="V66" s="441">
        <v>271.73</v>
      </c>
      <c r="W66" s="442"/>
      <c r="AA66" s="519">
        <v>245.92</v>
      </c>
      <c r="AB66" s="955"/>
      <c r="AC66" s="471"/>
      <c r="AE66" s="485"/>
      <c r="AF66" s="520"/>
    </row>
    <row r="67" spans="1:32" ht="22.5" customHeight="1">
      <c r="A67" s="454"/>
      <c r="B67" s="484"/>
      <c r="C67" s="462"/>
      <c r="D67" s="462"/>
      <c r="E67" s="436" t="s">
        <v>793</v>
      </c>
      <c r="F67" s="437"/>
      <c r="G67" s="439" t="s">
        <v>275</v>
      </c>
      <c r="H67" s="439" t="s">
        <v>275</v>
      </c>
      <c r="I67" s="439" t="s">
        <v>275</v>
      </c>
      <c r="J67" s="439" t="s">
        <v>229</v>
      </c>
      <c r="K67" s="439" t="s">
        <v>275</v>
      </c>
      <c r="L67" s="439" t="s">
        <v>275</v>
      </c>
      <c r="M67" s="439" t="s">
        <v>275</v>
      </c>
      <c r="N67" s="438" t="s">
        <v>275</v>
      </c>
      <c r="O67" s="439" t="s">
        <v>275</v>
      </c>
      <c r="P67" s="438" t="s">
        <v>275</v>
      </c>
      <c r="Q67" s="439" t="s">
        <v>275</v>
      </c>
      <c r="R67" s="439" t="s">
        <v>275</v>
      </c>
      <c r="S67" s="439" t="s">
        <v>275</v>
      </c>
      <c r="T67" s="439" t="s">
        <v>275</v>
      </c>
      <c r="U67" s="473">
        <v>18041731</v>
      </c>
      <c r="V67" s="441">
        <v>265.45999999999998</v>
      </c>
      <c r="W67" s="442"/>
      <c r="AA67" s="519">
        <v>240.24</v>
      </c>
      <c r="AB67" s="955"/>
      <c r="AC67" s="471"/>
    </row>
    <row r="68" spans="1:32">
      <c r="A68" s="447"/>
      <c r="B68" s="433" t="s">
        <v>905</v>
      </c>
      <c r="C68" s="433"/>
      <c r="D68" s="504"/>
      <c r="E68" s="436" t="s">
        <v>273</v>
      </c>
      <c r="F68" s="437"/>
      <c r="G68" s="439" t="s">
        <v>229</v>
      </c>
      <c r="H68" s="439" t="s">
        <v>229</v>
      </c>
      <c r="I68" s="439" t="s">
        <v>275</v>
      </c>
      <c r="J68" s="439" t="s">
        <v>229</v>
      </c>
      <c r="K68" s="439" t="s">
        <v>229</v>
      </c>
      <c r="L68" s="439" t="s">
        <v>275</v>
      </c>
      <c r="M68" s="439" t="s">
        <v>275</v>
      </c>
      <c r="N68" s="439" t="s">
        <v>275</v>
      </c>
      <c r="O68" s="439" t="s">
        <v>275</v>
      </c>
      <c r="P68" s="439" t="s">
        <v>275</v>
      </c>
      <c r="Q68" s="439" t="s">
        <v>275</v>
      </c>
      <c r="R68" s="439" t="s">
        <v>275</v>
      </c>
      <c r="S68" s="439" t="s">
        <v>275</v>
      </c>
      <c r="T68" s="439" t="s">
        <v>275</v>
      </c>
      <c r="U68" s="485">
        <v>18040943</v>
      </c>
      <c r="V68" s="441">
        <v>615.73</v>
      </c>
      <c r="W68" s="442"/>
      <c r="AA68" s="519">
        <v>557.21</v>
      </c>
      <c r="AB68" s="955"/>
      <c r="AC68" s="487"/>
    </row>
    <row r="69" spans="1:32">
      <c r="A69" s="447"/>
      <c r="B69" s="505" t="s">
        <v>907</v>
      </c>
      <c r="C69" s="433"/>
      <c r="D69" s="504"/>
      <c r="E69" s="948" t="s">
        <v>906</v>
      </c>
      <c r="F69" s="949"/>
      <c r="G69" s="439"/>
      <c r="H69" s="439"/>
      <c r="I69" s="439"/>
      <c r="J69" s="439"/>
      <c r="K69" s="439"/>
      <c r="L69" s="439"/>
      <c r="M69" s="439"/>
      <c r="N69" s="438"/>
      <c r="O69" s="439"/>
      <c r="P69" s="438"/>
      <c r="Q69" s="438"/>
      <c r="R69" s="438"/>
      <c r="S69" s="438"/>
      <c r="T69" s="438"/>
      <c r="U69" s="506"/>
      <c r="V69" s="486"/>
    </row>
    <row r="70" spans="1:32">
      <c r="A70" s="454"/>
      <c r="B70" s="462" t="s">
        <v>253</v>
      </c>
      <c r="C70" s="462"/>
      <c r="D70" s="507"/>
      <c r="E70" s="950"/>
      <c r="F70" s="951"/>
      <c r="G70" s="439"/>
      <c r="H70" s="439"/>
      <c r="I70" s="439"/>
      <c r="J70" s="439"/>
      <c r="K70" s="439"/>
      <c r="L70" s="439"/>
      <c r="M70" s="439"/>
      <c r="N70" s="438"/>
      <c r="O70" s="439"/>
      <c r="P70" s="438"/>
      <c r="Q70" s="438"/>
      <c r="R70" s="438"/>
      <c r="S70" s="438"/>
      <c r="T70" s="438"/>
      <c r="U70" s="508"/>
      <c r="V70" s="468"/>
    </row>
    <row r="71" spans="1:32">
      <c r="M71" s="418"/>
    </row>
  </sheetData>
  <sheetProtection algorithmName="SHA-512" hashValue="tbAfvf1hUmTh/doGsLnIsYcbsJOMZ6UfaXPI8JSVV7pJ/DyNQxD1nb4WkHTq/LbddB0GFd7DnYrzT9CNToKADA==" saltValue="Z7jPohbltbNgKJcZhmEylA==" spinCount="100000" sheet="1" objects="1" scenarios="1" selectLockedCells="1" selectUnlockedCells="1"/>
  <mergeCells count="3">
    <mergeCell ref="E69:F70"/>
    <mergeCell ref="E5:I5"/>
    <mergeCell ref="M5:T5"/>
  </mergeCells>
  <phoneticPr fontId="36" type="noConversion"/>
  <pageMargins left="0.74803149606299213" right="0.55118110236220474" top="0.39370078740157483" bottom="0.41" header="0.27559055118110237" footer="0.53"/>
  <pageSetup paperSize="9" orientation="portrait" horizontalDpi="300" verticalDpi="4294967292" r:id="rId1"/>
  <headerFooter alignWithMargins="0">
    <oddFooter>&amp;L&amp;7Unverbindliche Preisempfehlung, Basis 01.01.2008
Preisstellung: ab Auslieferungslager, einschließlich Verpackung, ohne Umsatzsteuer, ohne Transportversicherung
Lieferbedingungen: siehe Anhang - "Lieferbedingungen 0074.01/23"&amp;R0505.6/27
S. 60</oddFooter>
  </headerFooter>
  <customProperties>
    <customPr name="EpmWorksheetKeyString_GU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353</vt:i4>
      </vt:variant>
    </vt:vector>
  </HeadingPairs>
  <TitlesOfParts>
    <vt:vector size="361" baseType="lpstr">
      <vt:lpstr>Qm</vt:lpstr>
      <vt:lpstr>Berechnung</vt:lpstr>
      <vt:lpstr>Zubehör</vt:lpstr>
      <vt:lpstr>A_Text</vt:lpstr>
      <vt:lpstr>an</vt:lpstr>
      <vt:lpstr>kalk</vt:lpstr>
      <vt:lpstr>text</vt:lpstr>
      <vt:lpstr>db_zub</vt:lpstr>
      <vt:lpstr>_dnz2</vt:lpstr>
      <vt:lpstr>A_Text!a_text_abm</vt:lpstr>
      <vt:lpstr>a_text_abm</vt:lpstr>
      <vt:lpstr>A_Text!a_text_allg_01</vt:lpstr>
      <vt:lpstr>a_text_allg_01</vt:lpstr>
      <vt:lpstr>A_Text!a_text_allg_02</vt:lpstr>
      <vt:lpstr>a_text_allg_02</vt:lpstr>
      <vt:lpstr>A_Text!a_text_anlart</vt:lpstr>
      <vt:lpstr>a_text_anlart</vt:lpstr>
      <vt:lpstr>a_text_ansch_zu</vt:lpstr>
      <vt:lpstr>A_Text!a_text_dr_an1</vt:lpstr>
      <vt:lpstr>a_text_dr_an1</vt:lpstr>
      <vt:lpstr>A_Text!a_text_dr_an2</vt:lpstr>
      <vt:lpstr>a_text_dr_an2</vt:lpstr>
      <vt:lpstr>a_text_druck_bereich</vt:lpstr>
      <vt:lpstr>A_Text!a_text_entl</vt:lpstr>
      <vt:lpstr>a_text_entl</vt:lpstr>
      <vt:lpstr>A_Text!a_text_gew</vt:lpstr>
      <vt:lpstr>a_text_gew</vt:lpstr>
      <vt:lpstr>A_Text!a_text_h1</vt:lpstr>
      <vt:lpstr>a_text_h1</vt:lpstr>
      <vt:lpstr>A_Text!a_text_h2</vt:lpstr>
      <vt:lpstr>a_text_h2</vt:lpstr>
      <vt:lpstr>A_Text!a_text_h3</vt:lpstr>
      <vt:lpstr>a_text_h3</vt:lpstr>
      <vt:lpstr>A_Text!a_text_h4</vt:lpstr>
      <vt:lpstr>a_text_h4</vt:lpstr>
      <vt:lpstr>A_Text!a_text_h5</vt:lpstr>
      <vt:lpstr>a_text_h5</vt:lpstr>
      <vt:lpstr>A_Text!a_text_h6</vt:lpstr>
      <vt:lpstr>a_text_h6</vt:lpstr>
      <vt:lpstr>A_Text!a_text_h7</vt:lpstr>
      <vt:lpstr>a_text_h7</vt:lpstr>
      <vt:lpstr>A_Text!a_text_hmax</vt:lpstr>
      <vt:lpstr>a_text_hmax</vt:lpstr>
      <vt:lpstr>A_Text!a_text_inhalt</vt:lpstr>
      <vt:lpstr>a_text_inhalt</vt:lpstr>
      <vt:lpstr>A_Text!a_text_lrad_wkst</vt:lpstr>
      <vt:lpstr>a_text_lrad_wkst</vt:lpstr>
      <vt:lpstr>A_Text!a_text_mitte</vt:lpstr>
      <vt:lpstr>a_text_mitte</vt:lpstr>
      <vt:lpstr>A_Text!a_text_mitte_hor</vt:lpstr>
      <vt:lpstr>a_text_mitte_hor</vt:lpstr>
      <vt:lpstr>A_Text!a_text_mot_art</vt:lpstr>
      <vt:lpstr>a_text_mot_art</vt:lpstr>
      <vt:lpstr>A_Text!a_text_netz_ansch</vt:lpstr>
      <vt:lpstr>a_text_netz_ansch</vt:lpstr>
      <vt:lpstr>A_Text!a_text_p1</vt:lpstr>
      <vt:lpstr>a_text_p1</vt:lpstr>
      <vt:lpstr>A_Text!a_text_p2</vt:lpstr>
      <vt:lpstr>a_text_p2</vt:lpstr>
      <vt:lpstr>A_Text!a_text_ppanz</vt:lpstr>
      <vt:lpstr>a_text_ppanz</vt:lpstr>
      <vt:lpstr>A_Text!a_text_qmax</vt:lpstr>
      <vt:lpstr>a_text_qmax</vt:lpstr>
      <vt:lpstr>a_text_schneideinr</vt:lpstr>
      <vt:lpstr>A_Text!a_text_span_art</vt:lpstr>
      <vt:lpstr>a_text_span_art</vt:lpstr>
      <vt:lpstr>A_Text!a_text_v1</vt:lpstr>
      <vt:lpstr>a_text_v1</vt:lpstr>
      <vt:lpstr>a_text_v2</vt:lpstr>
      <vt:lpstr>A_Text!a_text_wd1</vt:lpstr>
      <vt:lpstr>a_text_wd1</vt:lpstr>
      <vt:lpstr>A_Text!a_text_wd2</vt:lpstr>
      <vt:lpstr>a_text_wd2</vt:lpstr>
      <vt:lpstr>A_Text!anl_bez</vt:lpstr>
      <vt:lpstr>anl_bez</vt:lpstr>
      <vt:lpstr>anlage_ermittelt</vt:lpstr>
      <vt:lpstr>anlage_geometrie_anschl</vt:lpstr>
      <vt:lpstr>anlage_idnr_bezeichnug</vt:lpstr>
      <vt:lpstr>anlage_preis</vt:lpstr>
      <vt:lpstr>anlage_werkstoff</vt:lpstr>
      <vt:lpstr>anlagen_art</vt:lpstr>
      <vt:lpstr>anlagen_art_duo</vt:lpstr>
      <vt:lpstr>auswertung_anschluss</vt:lpstr>
      <vt:lpstr>day</vt:lpstr>
      <vt:lpstr>dn</vt:lpstr>
      <vt:lpstr>dn_empf</vt:lpstr>
      <vt:lpstr>dn_zub_dnds_st</vt:lpstr>
      <vt:lpstr>dnds</vt:lpstr>
      <vt:lpstr>dnds_zub_hr_suchverweis</vt:lpstr>
      <vt:lpstr>dnt</vt:lpstr>
      <vt:lpstr>dnz</vt:lpstr>
      <vt:lpstr>A_Text!Druckbereich</vt:lpstr>
      <vt:lpstr>Berechnung!Druckbereich</vt:lpstr>
      <vt:lpstr>db_zub!Druckbereich</vt:lpstr>
      <vt:lpstr>kalk!Druckbereich</vt:lpstr>
      <vt:lpstr>Qm!Druckbereich</vt:lpstr>
      <vt:lpstr>Zubehör!Druckbereich</vt:lpstr>
      <vt:lpstr>f_1</vt:lpstr>
      <vt:lpstr>f_2</vt:lpstr>
      <vt:lpstr>fh_geo</vt:lpstr>
      <vt:lpstr>fh_verl</vt:lpstr>
      <vt:lpstr>A_Text!fhoehe</vt:lpstr>
      <vt:lpstr>fhoehe</vt:lpstr>
      <vt:lpstr>fhoehe_bp_f1</vt:lpstr>
      <vt:lpstr>fhoehe_bp_f2</vt:lpstr>
      <vt:lpstr>fhoehe_bp_f3</vt:lpstr>
      <vt:lpstr>fhoehe_bp_f4</vt:lpstr>
      <vt:lpstr>fhoehe_bp_f5</vt:lpstr>
      <vt:lpstr>fhoehe_bp_s1</vt:lpstr>
      <vt:lpstr>fhoehe_bp_s2</vt:lpstr>
      <vt:lpstr>fhoehe_kennl_f1</vt:lpstr>
      <vt:lpstr>fhoehe_kennl_f2</vt:lpstr>
      <vt:lpstr>fhoehe_kennl_f3</vt:lpstr>
      <vt:lpstr>fhoehe_kennl_f4</vt:lpstr>
      <vt:lpstr>fhoehe_kennl_f5</vt:lpstr>
      <vt:lpstr>fhoehe_kennl_s1</vt:lpstr>
      <vt:lpstr>fhoehe_kennl_s2</vt:lpstr>
      <vt:lpstr>fmenge</vt:lpstr>
      <vt:lpstr>gültig_bis</vt:lpstr>
      <vt:lpstr>hgeo_matrix_060</vt:lpstr>
      <vt:lpstr>hgeo_matrix_100</vt:lpstr>
      <vt:lpstr>hgeo_max_matrix_u1100</vt:lpstr>
      <vt:lpstr>hgeo_max_matrix_u1100_hor</vt:lpstr>
      <vt:lpstr>hgeo_max_matrix_u160</vt:lpstr>
      <vt:lpstr>hgeo_max_matrix_u160_hor</vt:lpstr>
      <vt:lpstr>hgeo_max_matrix_u2100</vt:lpstr>
      <vt:lpstr>hgeo_max_matrix_u2100_hor</vt:lpstr>
      <vt:lpstr>hmin_f1</vt:lpstr>
      <vt:lpstr>hmin_f2</vt:lpstr>
      <vt:lpstr>hmin_f3</vt:lpstr>
      <vt:lpstr>hmin_f4</vt:lpstr>
      <vt:lpstr>hmin_f5</vt:lpstr>
      <vt:lpstr>hmin_s1</vt:lpstr>
      <vt:lpstr>hmin_s2</vt:lpstr>
      <vt:lpstr>hydr_verl</vt:lpstr>
      <vt:lpstr>hydr_verl_zw</vt:lpstr>
      <vt:lpstr>id_no</vt:lpstr>
      <vt:lpstr>info_nutzvolumen</vt:lpstr>
      <vt:lpstr>info_spannung</vt:lpstr>
      <vt:lpstr>kennlinie_laufrad_f_matrix</vt:lpstr>
      <vt:lpstr>kennlinie_laufrad_s_matrix</vt:lpstr>
      <vt:lpstr>laufrad_form</vt:lpstr>
      <vt:lpstr>laufrad_ist</vt:lpstr>
      <vt:lpstr>laufrad_ist_volumen</vt:lpstr>
      <vt:lpstr>laufrad_soll_kennlinie</vt:lpstr>
      <vt:lpstr>ldl</vt:lpstr>
      <vt:lpstr>ldl_max</vt:lpstr>
      <vt:lpstr>matrix_anschluss_180</vt:lpstr>
      <vt:lpstr>matrix_anschluss_250</vt:lpstr>
      <vt:lpstr>matrix_anschluss_320</vt:lpstr>
      <vt:lpstr>matrix_anschluss_vertikal</vt:lpstr>
      <vt:lpstr>matrix_dnds_zub_hr_suchverweis</vt:lpstr>
      <vt:lpstr>matrix_kennlinie_F1</vt:lpstr>
      <vt:lpstr>matrix_kennlinie_F2</vt:lpstr>
      <vt:lpstr>matrix_kennlinie_F3</vt:lpstr>
      <vt:lpstr>matrix_kennlinie_F4</vt:lpstr>
      <vt:lpstr>matrix_kennlinie_F5</vt:lpstr>
      <vt:lpstr>matrix_kennlinie_s1</vt:lpstr>
      <vt:lpstr>matrix_kennlinie_s2</vt:lpstr>
      <vt:lpstr>matrix_nr</vt:lpstr>
      <vt:lpstr>matrix_qi_qp</vt:lpstr>
      <vt:lpstr>max_qz_qp</vt:lpstr>
      <vt:lpstr>meldung_1</vt:lpstr>
      <vt:lpstr>meldung_10</vt:lpstr>
      <vt:lpstr>meldung_11</vt:lpstr>
      <vt:lpstr>meldung_12</vt:lpstr>
      <vt:lpstr>meldung_13</vt:lpstr>
      <vt:lpstr>meldung_14</vt:lpstr>
      <vt:lpstr>meldung_15</vt:lpstr>
      <vt:lpstr>meldung_16</vt:lpstr>
      <vt:lpstr>meldung_17</vt:lpstr>
      <vt:lpstr>meldung_18</vt:lpstr>
      <vt:lpstr>meldung_19</vt:lpstr>
      <vt:lpstr>meldung_2</vt:lpstr>
      <vt:lpstr>meldung_20</vt:lpstr>
      <vt:lpstr>meldung_21</vt:lpstr>
      <vt:lpstr>meldung_22</vt:lpstr>
      <vt:lpstr>meldung_23</vt:lpstr>
      <vt:lpstr>meldung_24</vt:lpstr>
      <vt:lpstr>meldung_25</vt:lpstr>
      <vt:lpstr>meldung_26</vt:lpstr>
      <vt:lpstr>meldung_27</vt:lpstr>
      <vt:lpstr>meldung_28</vt:lpstr>
      <vt:lpstr>meldung_29</vt:lpstr>
      <vt:lpstr>meldung_3</vt:lpstr>
      <vt:lpstr>meldung_30</vt:lpstr>
      <vt:lpstr>meldung_31</vt:lpstr>
      <vt:lpstr>meldung_32</vt:lpstr>
      <vt:lpstr>meldung_33</vt:lpstr>
      <vt:lpstr>meldung_34</vt:lpstr>
      <vt:lpstr>meldung_35</vt:lpstr>
      <vt:lpstr>meldung_36</vt:lpstr>
      <vt:lpstr>meldung_37</vt:lpstr>
      <vt:lpstr>meldung_38</vt:lpstr>
      <vt:lpstr>meldung_39</vt:lpstr>
      <vt:lpstr>meldung_4</vt:lpstr>
      <vt:lpstr>meldung_40</vt:lpstr>
      <vt:lpstr>meldung_41</vt:lpstr>
      <vt:lpstr>meldung_42</vt:lpstr>
      <vt:lpstr>meldung_43</vt:lpstr>
      <vt:lpstr>meldung_44</vt:lpstr>
      <vt:lpstr>meldung_45</vt:lpstr>
      <vt:lpstr>meldung_46</vt:lpstr>
      <vt:lpstr>meldung_47</vt:lpstr>
      <vt:lpstr>meldung_48</vt:lpstr>
      <vt:lpstr>meldung_49</vt:lpstr>
      <vt:lpstr>meldung_5</vt:lpstr>
      <vt:lpstr>meldung_50</vt:lpstr>
      <vt:lpstr>meldung_51</vt:lpstr>
      <vt:lpstr>meldung_52</vt:lpstr>
      <vt:lpstr>meldung_53</vt:lpstr>
      <vt:lpstr>meldung_54</vt:lpstr>
      <vt:lpstr>meldung_55</vt:lpstr>
      <vt:lpstr>meldung_56</vt:lpstr>
      <vt:lpstr>meldung_57</vt:lpstr>
      <vt:lpstr>meldung_58</vt:lpstr>
      <vt:lpstr>meldung_59</vt:lpstr>
      <vt:lpstr>meldung_6</vt:lpstr>
      <vt:lpstr>meldung_60</vt:lpstr>
      <vt:lpstr>meldung_61</vt:lpstr>
      <vt:lpstr>meldung_62</vt:lpstr>
      <vt:lpstr>meldung_63</vt:lpstr>
      <vt:lpstr>meldung_64</vt:lpstr>
      <vt:lpstr>meldung_65</vt:lpstr>
      <vt:lpstr>meldung_66</vt:lpstr>
      <vt:lpstr>meldung_67</vt:lpstr>
      <vt:lpstr>meldung_68</vt:lpstr>
      <vt:lpstr>meldung_69</vt:lpstr>
      <vt:lpstr>meldung_7</vt:lpstr>
      <vt:lpstr>meldung_70</vt:lpstr>
      <vt:lpstr>meldung_71</vt:lpstr>
      <vt:lpstr>meldung_72</vt:lpstr>
      <vt:lpstr>meldung_73</vt:lpstr>
      <vt:lpstr>meldung_74</vt:lpstr>
      <vt:lpstr>meldung_75</vt:lpstr>
      <vt:lpstr>meldung_76</vt:lpstr>
      <vt:lpstr>meldung_77</vt:lpstr>
      <vt:lpstr>meldung_78</vt:lpstr>
      <vt:lpstr>meldung_79</vt:lpstr>
      <vt:lpstr>meldung_8</vt:lpstr>
      <vt:lpstr>meldung_80</vt:lpstr>
      <vt:lpstr>meldung_81</vt:lpstr>
      <vt:lpstr>meldung_82</vt:lpstr>
      <vt:lpstr>meldung_83</vt:lpstr>
      <vt:lpstr>meldung_84</vt:lpstr>
      <vt:lpstr>meldung_85</vt:lpstr>
      <vt:lpstr>meldung_86</vt:lpstr>
      <vt:lpstr>meldung_87</vt:lpstr>
      <vt:lpstr>meldung_88</vt:lpstr>
      <vt:lpstr>meldung_89</vt:lpstr>
      <vt:lpstr>meldung_9</vt:lpstr>
      <vt:lpstr>meldung_90</vt:lpstr>
      <vt:lpstr>meldung_91</vt:lpstr>
      <vt:lpstr>meldung_92</vt:lpstr>
      <vt:lpstr>meldung_93</vt:lpstr>
      <vt:lpstr>meldung_94</vt:lpstr>
      <vt:lpstr>meldung_95</vt:lpstr>
      <vt:lpstr>Meldung_LU</vt:lpstr>
      <vt:lpstr>mm</vt:lpstr>
      <vt:lpstr>A_Text!name_</vt:lpstr>
      <vt:lpstr>name_</vt:lpstr>
      <vt:lpstr>name_c</vt:lpstr>
      <vt:lpstr>name_mc</vt:lpstr>
      <vt:lpstr>nutzvolumen_ermittelt</vt:lpstr>
      <vt:lpstr>nutzvolumen_ist</vt:lpstr>
      <vt:lpstr>piv_volumen</vt:lpstr>
      <vt:lpstr>pr_brutto_07_euro</vt:lpstr>
      <vt:lpstr>q_fsuche</vt:lpstr>
      <vt:lpstr>qi_zu_qp_erm</vt:lpstr>
      <vt:lpstr>qmax_allg</vt:lpstr>
      <vt:lpstr>qmax_dn_info</vt:lpstr>
      <vt:lpstr>qmax_dn100</vt:lpstr>
      <vt:lpstr>qmax_dn125</vt:lpstr>
      <vt:lpstr>qmax_dn150</vt:lpstr>
      <vt:lpstr>qmax_dn200</vt:lpstr>
      <vt:lpstr>qmax_dn32</vt:lpstr>
      <vt:lpstr>qmax_dn50</vt:lpstr>
      <vt:lpstr>qmax_dn65</vt:lpstr>
      <vt:lpstr>qmax_dn80</vt:lpstr>
      <vt:lpstr>qmax_f1</vt:lpstr>
      <vt:lpstr>qmax_f2</vt:lpstr>
      <vt:lpstr>qmax_f3</vt:lpstr>
      <vt:lpstr>qmax_f4</vt:lpstr>
      <vt:lpstr>qmax_f5</vt:lpstr>
      <vt:lpstr>qmax_laufrad_ist</vt:lpstr>
      <vt:lpstr>qmax_s1</vt:lpstr>
      <vt:lpstr>qmax_s2</vt:lpstr>
      <vt:lpstr>qmin_allg</vt:lpstr>
      <vt:lpstr>qmin_dn_info</vt:lpstr>
      <vt:lpstr>qmin_dn100</vt:lpstr>
      <vt:lpstr>qmin_dn125</vt:lpstr>
      <vt:lpstr>qmin_dn150</vt:lpstr>
      <vt:lpstr>qmin_dn200</vt:lpstr>
      <vt:lpstr>qmin_dn32</vt:lpstr>
      <vt:lpstr>qmin_dn50</vt:lpstr>
      <vt:lpstr>qmin_dn65</vt:lpstr>
      <vt:lpstr>qmin_dn80</vt:lpstr>
      <vt:lpstr>qmin_f1</vt:lpstr>
      <vt:lpstr>qmin_f2</vt:lpstr>
      <vt:lpstr>qmin_qmax_dn</vt:lpstr>
      <vt:lpstr>qpumpe</vt:lpstr>
      <vt:lpstr>A_Text!qpumpe_bp</vt:lpstr>
      <vt:lpstr>qpumpe_bp</vt:lpstr>
      <vt:lpstr>qpumpe_bp_f_matrix</vt:lpstr>
      <vt:lpstr>qpumpe_bp_f1</vt:lpstr>
      <vt:lpstr>qpumpe_bp_f2</vt:lpstr>
      <vt:lpstr>qpumpe_bp_f3</vt:lpstr>
      <vt:lpstr>qpumpe_bp_f4</vt:lpstr>
      <vt:lpstr>qpumpe_bp_f5</vt:lpstr>
      <vt:lpstr>qpumpe_bp_s_matrix</vt:lpstr>
      <vt:lpstr>qpumpe_bp_s1</vt:lpstr>
      <vt:lpstr>qpumpe_bp_s2</vt:lpstr>
      <vt:lpstr>qpumpe_bp_zw</vt:lpstr>
      <vt:lpstr>qumrmhinls</vt:lpstr>
      <vt:lpstr>qzulauf</vt:lpstr>
      <vt:lpstr>rel_schalt</vt:lpstr>
      <vt:lpstr>spannung</vt:lpstr>
      <vt:lpstr>toleranz_vmax_dnds</vt:lpstr>
      <vt:lpstr>Trel</vt:lpstr>
      <vt:lpstr>tz_geg</vt:lpstr>
      <vt:lpstr>u060_ah_180</vt:lpstr>
      <vt:lpstr>u060_ah_vert</vt:lpstr>
      <vt:lpstr>u1100_ah_180</vt:lpstr>
      <vt:lpstr>u1100_ah_250</vt:lpstr>
      <vt:lpstr>u1100_ah_vert</vt:lpstr>
      <vt:lpstr>u2100_ah_180</vt:lpstr>
      <vt:lpstr>u2100_ah_250</vt:lpstr>
      <vt:lpstr>u2100_ah_vert</vt:lpstr>
      <vt:lpstr>vmaxds</vt:lpstr>
      <vt:lpstr>vminds</vt:lpstr>
      <vt:lpstr>vol_ds_max</vt:lpstr>
      <vt:lpstr>vzulauf</vt:lpstr>
      <vt:lpstr>xyz</vt:lpstr>
      <vt:lpstr>zeta_gesamt</vt:lpstr>
      <vt:lpstr>zeta_gesamt_50</vt:lpstr>
      <vt:lpstr>zub_bez_liste</vt:lpstr>
      <vt:lpstr>zub_bez_liste_p13</vt:lpstr>
      <vt:lpstr>zub_bez_liste_spnr</vt:lpstr>
      <vt:lpstr>zub_bez_liste_spnr_p13</vt:lpstr>
      <vt:lpstr>zub_p101</vt:lpstr>
      <vt:lpstr>zub_p102</vt:lpstr>
      <vt:lpstr>zub_p103</vt:lpstr>
      <vt:lpstr>zub_p10jb</vt:lpstr>
      <vt:lpstr>zub_p111</vt:lpstr>
      <vt:lpstr>zub_p112</vt:lpstr>
      <vt:lpstr>zub_p113</vt:lpstr>
      <vt:lpstr>zub_p114</vt:lpstr>
      <vt:lpstr>zub_p115</vt:lpstr>
      <vt:lpstr>zub_p12</vt:lpstr>
      <vt:lpstr>zub_p13</vt:lpstr>
      <vt:lpstr>zub_p131</vt:lpstr>
      <vt:lpstr>zub_p14</vt:lpstr>
      <vt:lpstr>zub_p15</vt:lpstr>
      <vt:lpstr>zub_p20</vt:lpstr>
      <vt:lpstr>zub_p3</vt:lpstr>
      <vt:lpstr>zub_p5</vt:lpstr>
      <vt:lpstr>zub_p8</vt:lpstr>
      <vt:lpstr>zub_p9.1</vt:lpstr>
      <vt:lpstr>zub_p9.2</vt:lpstr>
      <vt:lpstr>zulauf_dn_st</vt:lpstr>
      <vt:lpstr>zulauf_ermittelt</vt:lpstr>
    </vt:vector>
  </TitlesOfParts>
  <Manager>alexander.gatzka@ksb.com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alexander.gatzka@ksb.com</dc:creator>
  <cp:lastModifiedBy>Gatzka, Alexander</cp:lastModifiedBy>
  <cp:lastPrinted>2022-01-12T14:06:22Z</cp:lastPrinted>
  <dcterms:created xsi:type="dcterms:W3CDTF">2006-12-28T13:36:14Z</dcterms:created>
  <dcterms:modified xsi:type="dcterms:W3CDTF">2022-07-04T08:38:14Z</dcterms:modified>
</cp:coreProperties>
</file>